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D:\Desktop\POR SM 2021-2027\Ghiduri\Prioritatea 6\Turism\Etapizate\23.04.2024\P6_5.2C-TURISM-GHIDUL SI ANEXE-ETAPIZATE_23.04.2024\Anexe\"/>
    </mc:Choice>
  </mc:AlternateContent>
  <xr:revisionPtr revIDLastSave="0" documentId="13_ncr:1_{CF0BBD11-B012-491A-9C32-3B6D0B30C1D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  <sheet name="AXA 13" sheetId="4" state="hidden" r:id="rId2"/>
    <sheet name="Centralizare" sheetId="2" state="hidden" r:id="rId3"/>
  </sheets>
  <definedNames>
    <definedName name="_xlnm._FilterDatabase" localSheetId="0" hidden="1">Sheet1!$A$2:$M$7</definedName>
    <definedName name="_xlnm.Print_Area" localSheetId="1">'AXA 13'!$A$1:$AU$23</definedName>
    <definedName name="_xlnm.Print_Area" localSheetId="2">Centralizare!$A$2:$J$26</definedName>
    <definedName name="_xlnm.Print_Area" localSheetId="0">Sheet1!$A$2:$Q$10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M7" i="1"/>
  <c r="Z7" i="4"/>
  <c r="Z4" i="4"/>
  <c r="F16" i="2" l="1"/>
  <c r="D16" i="2"/>
  <c r="C16" i="2"/>
  <c r="U17" i="4" l="1"/>
  <c r="V17" i="4" s="1"/>
  <c r="M15" i="4"/>
  <c r="N15" i="4"/>
  <c r="O15" i="4"/>
  <c r="P15" i="4"/>
  <c r="Q15" i="4"/>
  <c r="R15" i="4"/>
  <c r="T3" i="4"/>
  <c r="U3" i="4" s="1"/>
  <c r="T4" i="4"/>
  <c r="T5" i="4"/>
  <c r="T6" i="4"/>
  <c r="U6" i="4" s="1"/>
  <c r="T7" i="4"/>
  <c r="T8" i="4"/>
  <c r="T9" i="4"/>
  <c r="T10" i="4"/>
  <c r="U10" i="4" s="1"/>
  <c r="T11" i="4"/>
  <c r="U11" i="4" s="1"/>
  <c r="T12" i="4"/>
  <c r="U12" i="4" s="1"/>
  <c r="T13" i="4"/>
  <c r="T14" i="4"/>
  <c r="U14" i="4" s="1"/>
  <c r="T2" i="4"/>
  <c r="U2" i="4" s="1"/>
  <c r="U20" i="4"/>
  <c r="V20" i="4" s="1"/>
  <c r="U19" i="4"/>
  <c r="V19" i="4" s="1"/>
  <c r="U18" i="4"/>
  <c r="V18" i="4" s="1"/>
  <c r="S2" i="4"/>
  <c r="V2" i="4"/>
  <c r="W2" i="4" s="1"/>
  <c r="S3" i="4"/>
  <c r="V3" i="4"/>
  <c r="S4" i="4"/>
  <c r="V4" i="4"/>
  <c r="W4" i="4" s="1"/>
  <c r="S5" i="4"/>
  <c r="V5" i="4"/>
  <c r="W5" i="4" s="1"/>
  <c r="S6" i="4"/>
  <c r="V6" i="4"/>
  <c r="W6" i="4" s="1"/>
  <c r="S7" i="4"/>
  <c r="V7" i="4"/>
  <c r="W7" i="4" s="1"/>
  <c r="S8" i="4"/>
  <c r="V8" i="4"/>
  <c r="W8" i="4" s="1"/>
  <c r="S9" i="4"/>
  <c r="V9" i="4"/>
  <c r="W9" i="4" s="1"/>
  <c r="S10" i="4"/>
  <c r="V10" i="4"/>
  <c r="W10" i="4" s="1"/>
  <c r="S11" i="4"/>
  <c r="V11" i="4"/>
  <c r="W11" i="4" s="1"/>
  <c r="S12" i="4"/>
  <c r="V12" i="4"/>
  <c r="W12" i="4" s="1"/>
  <c r="S13" i="4"/>
  <c r="V13" i="4"/>
  <c r="W13" i="4" s="1"/>
  <c r="S14" i="4"/>
  <c r="V14" i="4"/>
  <c r="W14" i="4" s="1"/>
  <c r="Z19" i="4"/>
  <c r="Z20" i="4"/>
  <c r="U7" i="4" l="1"/>
  <c r="U4" i="4"/>
  <c r="U9" i="4"/>
  <c r="U13" i="4"/>
  <c r="U8" i="4"/>
  <c r="U5" i="4"/>
  <c r="U21" i="4"/>
  <c r="V21" i="4" s="1"/>
  <c r="S15" i="4"/>
  <c r="T15" i="4"/>
  <c r="V15" i="4"/>
  <c r="W3" i="4"/>
  <c r="W15" i="4" s="1"/>
  <c r="U15" i="4" l="1"/>
  <c r="X27" i="4"/>
  <c r="L6" i="1"/>
  <c r="L5" i="1"/>
  <c r="L4" i="1"/>
  <c r="N5" i="1"/>
  <c r="N6" i="1"/>
  <c r="N4" i="1"/>
  <c r="N7" i="1" s="1"/>
  <c r="Q4" i="1"/>
  <c r="Q5" i="1"/>
  <c r="Q6" i="1"/>
  <c r="Q7" i="1" l="1"/>
  <c r="O4" i="1"/>
  <c r="O5" i="1"/>
  <c r="O6" i="1"/>
  <c r="K6" i="1"/>
  <c r="K5" i="1"/>
  <c r="K4" i="1"/>
  <c r="O7" i="1" l="1"/>
  <c r="H13" i="2"/>
  <c r="H12" i="2"/>
  <c r="H6" i="2"/>
  <c r="H5" i="2"/>
  <c r="H14" i="2"/>
  <c r="H9" i="2"/>
  <c r="E9" i="2" l="1"/>
  <c r="E13" i="2"/>
  <c r="E12" i="2"/>
  <c r="E6" i="2"/>
  <c r="H8" i="2"/>
  <c r="E8" i="2" s="1"/>
  <c r="G5" i="2"/>
  <c r="E5" i="2"/>
  <c r="G14" i="2"/>
  <c r="E14" i="2"/>
  <c r="G13" i="2"/>
  <c r="G9" i="2"/>
  <c r="H7" i="2"/>
  <c r="H11" i="2"/>
  <c r="G12" i="2"/>
  <c r="H15" i="2"/>
  <c r="G6" i="2"/>
  <c r="E15" i="2" l="1"/>
  <c r="E7" i="2"/>
  <c r="H10" i="2"/>
  <c r="G8" i="2"/>
  <c r="E11" i="2"/>
  <c r="G15" i="2"/>
  <c r="G11" i="2"/>
  <c r="G7" i="2"/>
  <c r="H22" i="2"/>
  <c r="H31" i="2" l="1"/>
  <c r="J21" i="2"/>
  <c r="J22" i="2" s="1"/>
  <c r="E10" i="2"/>
  <c r="G10" i="2"/>
  <c r="O9" i="1"/>
  <c r="H16" i="2"/>
  <c r="E16" i="2" s="1"/>
  <c r="C19" i="2" l="1"/>
  <c r="H24" i="2"/>
  <c r="G16" i="2"/>
  <c r="C20" i="2" l="1"/>
  <c r="I16" i="2"/>
  <c r="I6" i="2"/>
  <c r="I12" i="2"/>
  <c r="I13" i="2"/>
  <c r="I9" i="2"/>
  <c r="I14" i="2"/>
  <c r="I5" i="2"/>
  <c r="I10" i="2"/>
  <c r="I7" i="2"/>
  <c r="I11" i="2"/>
  <c r="I8" i="2"/>
  <c r="I15" i="2"/>
</calcChain>
</file>

<file path=xl/sharedStrings.xml><?xml version="1.0" encoding="utf-8"?>
<sst xmlns="http://schemas.openxmlformats.org/spreadsheetml/2006/main" count="232" uniqueCount="169">
  <si>
    <t>Nr crt</t>
  </si>
  <si>
    <t>Cod SMIS</t>
  </si>
  <si>
    <t>AP</t>
  </si>
  <si>
    <t>PI</t>
  </si>
  <si>
    <t>Judet</t>
  </si>
  <si>
    <t>Titlul proiect</t>
  </si>
  <si>
    <t>Beneficiar</t>
  </si>
  <si>
    <t>Data intrarii in vigoare a contractului</t>
  </si>
  <si>
    <t>Valoare totala,</t>
  </si>
  <si>
    <t>LEI</t>
  </si>
  <si>
    <t>Solicitat beneficiar</t>
  </si>
  <si>
    <t>lei</t>
  </si>
  <si>
    <t>DB</t>
  </si>
  <si>
    <t>UAT ORASUL PUCIOASA</t>
  </si>
  <si>
    <t>7,1</t>
  </si>
  <si>
    <t>MODERNIZARE ȘI AMENAJARE PEISAGERĂ ÎN ZONA CENTRALĂ A STAȚIUNII BALNEOCLIMATICE ORAȘ PUCIOASA</t>
  </si>
  <si>
    <t>29.05.2019</t>
  </si>
  <si>
    <t>CREARE ZONĂ DE AGREMENT „MOȚĂIANCA” ÎN STAȚIUNEA BALNEOCLIMATICĂ ORAȘ PUCIOASA</t>
  </si>
  <si>
    <t>Dezvoltarea infrastructurii turistice în stațiunea balneoclimaterică orașul Pucioasa</t>
  </si>
  <si>
    <t>01.11.2017</t>
  </si>
  <si>
    <t>UAT ORAS TITU</t>
  </si>
  <si>
    <t>Construirea și dotarea Grădiniței "Prichindel" din orașul Pucioasa și îmbunătățirea spațiilor publice urbane din zonă”</t>
  </si>
  <si>
    <t>Îmbunătățirea calității vieții populației prin investiții în infrastructura Orașului Titu</t>
  </si>
  <si>
    <t>Îmbunătățirea calității vieții populației Orașului Titu prin investiții în infrastructura rutieră, educațională și socio-culturală</t>
  </si>
  <si>
    <t>Reabilitarea, modernizarea, extinderea și dotarea Grădiniței cu Program Prelungit nr.2 din orașul Pucioasa și îmbunătățirea spațiilor publice urbane din zonă</t>
  </si>
  <si>
    <t>Proiect Integrat de Regenerare Urbană Nord</t>
  </si>
  <si>
    <t>UAT ORAȘ RĂCARI</t>
  </si>
  <si>
    <t>Proiect Integrat de Regenerare Urbană SUD</t>
  </si>
  <si>
    <t>IL</t>
  </si>
  <si>
    <t>Dezvoltare durabilă și creșterea calității vieții în Municipiul Urziceni prin abordarea integrată a măsurilor de regenerare urbană”,</t>
  </si>
  <si>
    <t>UAT MUNICIPIUL URZICENI</t>
  </si>
  <si>
    <t>Creșterea nivelului educațional prin reabilitarea și modernizarea Școlii Gimnaziale Aurel Vlaicu și a spațiilor publice urbane în Municipiul Fetești</t>
  </si>
  <si>
    <t>UAT MUNICIPIUL FETESTI</t>
  </si>
  <si>
    <t>PH</t>
  </si>
  <si>
    <t>UAT ORAS MIZIL</t>
  </si>
  <si>
    <t>UAT ORAS AZUGA</t>
  </si>
  <si>
    <t>UAT ORAS SINAIA</t>
  </si>
  <si>
    <t>Centru Multifunctional Educational - recreational "ZINO - Educatie de la A la Z"</t>
  </si>
  <si>
    <t>Sinaia 3.0 Educatie. Social. Mobilitate.</t>
  </si>
  <si>
    <t>Îmbunatatirea calitatii vietii populatiei în Orasul Urlati, judetul Prahova</t>
  </si>
  <si>
    <t>UAT ORASUL URLATI</t>
  </si>
  <si>
    <t>"Imbunatatirea calitatii vietii populatiei in oras Azuga, judet Prahova - LOT II"</t>
  </si>
  <si>
    <t>Îmbunătățirea calității vieții populației din Orașul Mizil</t>
  </si>
  <si>
    <t>NECESAR DE FINANȚARE lei</t>
  </si>
  <si>
    <t>NECESAR DE FINANȚARE EURO</t>
  </si>
  <si>
    <t>Obiectiv specific</t>
  </si>
  <si>
    <t>Valoare proiecte FEDR</t>
  </si>
  <si>
    <t>Valoare totala proiecte (FEDR+BS)</t>
  </si>
  <si>
    <t>2.1. - locuinte</t>
  </si>
  <si>
    <t>2.1. - cladiri publice</t>
  </si>
  <si>
    <t>3.2. - drumuri judetene</t>
  </si>
  <si>
    <t>4.2. - invatamant prescolar</t>
  </si>
  <si>
    <t>4.2. - invatamant primar si secundar</t>
  </si>
  <si>
    <t>4.2. - invatamant profesional si tehnic</t>
  </si>
  <si>
    <t>5.2. - infrastructura turistica</t>
  </si>
  <si>
    <t>5.2. - regenerare urbana</t>
  </si>
  <si>
    <t>TOTAL</t>
  </si>
  <si>
    <t>% ETAPIZATE DIN TOTAL PR SM 2021-2027</t>
  </si>
  <si>
    <t>valuare actualizare conform OUG 64</t>
  </si>
  <si>
    <t>Valoare totala eligibila inițială</t>
  </si>
  <si>
    <t>Progres financiar cf. art. 3 lit.d) -OUG 36/2023 31.12.2023</t>
  </si>
  <si>
    <t>Progres financiar cf. art. 3 lit.d) -OUG 36/2023 22.02.2024</t>
  </si>
  <si>
    <t>OS 2.1 eficientă</t>
  </si>
  <si>
    <t>OS 5.2 - regenerare</t>
  </si>
  <si>
    <t>OS 4.2- gradinite</t>
  </si>
  <si>
    <t>OS 4.2 - primar si secundar</t>
  </si>
  <si>
    <t>Modernizarea infrastructurii stradale</t>
  </si>
  <si>
    <t>Infiintare facilitate recreationala de mici dimensiuni- Loc de joaca</t>
  </si>
  <si>
    <t xml:space="preserve">Infiintare corp B Scoala Gimnaziala Ion Heliade Radulescu </t>
  </si>
  <si>
    <t>Infiintare Centru Multifunctional Cultural prin construirea unei cladiri noi</t>
  </si>
  <si>
    <t>3. Sud - Muntenia</t>
  </si>
  <si>
    <t xml:space="preserve">Modernizare străzi </t>
  </si>
  <si>
    <t>scoala gimnazială Aurel Vlaicu</t>
  </si>
  <si>
    <t>amenajare teren de sport multifuncțional în curtea școlii nr. 1 din orașul Mizil</t>
  </si>
  <si>
    <t>Modernizare, reabilitare și dotare Casa de Cultură a orașului Mizil</t>
  </si>
  <si>
    <t>refuncționalizarea și schimbarea destinației vechii primării a orașului în Muzeul comunității mizilene</t>
  </si>
  <si>
    <t>Școala gimnazială Sfântul Nicolae Mizil</t>
  </si>
  <si>
    <t xml:space="preserve">Școală </t>
  </si>
  <si>
    <t>modernizare străzi</t>
  </si>
  <si>
    <t>Construire centru cultural prin desfiintare spatiu si amenajare ambientală</t>
  </si>
  <si>
    <t>Cresă</t>
  </si>
  <si>
    <t>Parc</t>
  </si>
  <si>
    <t>amenajare parcul eroilor în orașul Răcari</t>
  </si>
  <si>
    <t>extindere și modernizare  bază sportivă Răcari</t>
  </si>
  <si>
    <t>modernizare străzi în zona de sud a orașului Racari</t>
  </si>
  <si>
    <t>Școala gimnazială Răcari</t>
  </si>
  <si>
    <t>modernizare străzi în zona de nord a orașului Racari</t>
  </si>
  <si>
    <t>amenajare parc în satul Sabiești și modernizare strazi</t>
  </si>
  <si>
    <t>construire bază sportivă satul Colacu</t>
  </si>
  <si>
    <t>inființare centru cultural și bază sportiva satul Stanești</t>
  </si>
  <si>
    <t>inființare centru cultural satul Colacu</t>
  </si>
  <si>
    <t>Scoala gimnazială Colacu</t>
  </si>
  <si>
    <t>Reabilitare, modernizare, extindere și dotare gradinita</t>
  </si>
  <si>
    <t>Reabilitare străzi și sistem de evacuare ape pluviale</t>
  </si>
  <si>
    <t>reabilitare termica și modernizare centru pentru tineret</t>
  </si>
  <si>
    <t>Construire creșă în orașul Titu</t>
  </si>
  <si>
    <t>Locuințe sociale</t>
  </si>
  <si>
    <t>Scoala gimnazială pictor Nicolae Grigorescu</t>
  </si>
  <si>
    <t>Demolare gradinita și construcție una noua</t>
  </si>
  <si>
    <t>Strada Badea Cârțan</t>
  </si>
  <si>
    <t>Scoala George Enescu</t>
  </si>
  <si>
    <t>Scoala Principesa Maria</t>
  </si>
  <si>
    <t>zona pietonală</t>
  </si>
  <si>
    <t>centru multifuncțional educational-recreational</t>
  </si>
  <si>
    <t>NEELIGIBIL lei</t>
  </si>
  <si>
    <t xml:space="preserve">Necesar de finantare FEDR   
   -lei- </t>
  </si>
  <si>
    <t>Solicitat componenta 7</t>
  </si>
  <si>
    <t>tip componenta 7</t>
  </si>
  <si>
    <t>Solicitat componenta 6</t>
  </si>
  <si>
    <t>tip componenta 6</t>
  </si>
  <si>
    <t>Solicitat componenta 5</t>
  </si>
  <si>
    <t>tip componenta 5</t>
  </si>
  <si>
    <t>Solicitat componenta 4</t>
  </si>
  <si>
    <t>tip componenta 4</t>
  </si>
  <si>
    <t>Solicitat componenta 3</t>
  </si>
  <si>
    <t>tip componenta 3</t>
  </si>
  <si>
    <t>Solicitat componenta 2</t>
  </si>
  <si>
    <t>tip componenta 2</t>
  </si>
  <si>
    <t>Solicitat componenta 1</t>
  </si>
  <si>
    <t>tip componenta 1</t>
  </si>
  <si>
    <t>NEELIGIBIL euro</t>
  </si>
  <si>
    <t xml:space="preserve">Necesar de finantare FEDR    
  - euro - </t>
  </si>
  <si>
    <t>Cheltuieli neeligibile, LEI (inclusiv TVA neeligibil)</t>
  </si>
  <si>
    <t>Contributie beneficiar, LEI</t>
  </si>
  <si>
    <t>Buget de Stat, LEI</t>
  </si>
  <si>
    <t>FEDR  LEI</t>
  </si>
  <si>
    <t>Valoare totala eligibila, LEI</t>
  </si>
  <si>
    <t>Valoare totala,LEI</t>
  </si>
  <si>
    <t>Data finalizarii contractului</t>
  </si>
  <si>
    <t>Data începerii implementării</t>
  </si>
  <si>
    <t>Durata, luni</t>
  </si>
  <si>
    <t>Regiune</t>
  </si>
  <si>
    <t>Solicitat beneficiar 22.02.2024  LEI</t>
  </si>
  <si>
    <t>5.1. - regenerare urbana</t>
  </si>
  <si>
    <t>BUGET TOTAL ELIGIBIL 31.12.2023</t>
  </si>
  <si>
    <t>041</t>
  </si>
  <si>
    <t>1.1 Cercetare – dezvoltare - inovare în colaborare cu mediul academic</t>
  </si>
  <si>
    <t>Alocare FEDR+BS</t>
  </si>
  <si>
    <t>Alocare FEDR</t>
  </si>
  <si>
    <t>Procent fazate vs alocare FEDR+BS</t>
  </si>
  <si>
    <t>% ETAPIZATE DIN FEDR PR SM 2021-2027</t>
  </si>
  <si>
    <t>Nr. obiecte de investiție</t>
  </si>
  <si>
    <t>NR proiecte individuale</t>
  </si>
  <si>
    <t>NR proiecte integrate</t>
  </si>
  <si>
    <t>ALOCARE PRSM FEDR</t>
  </si>
  <si>
    <t>ALOCARE PRSM FEDR+BS</t>
  </si>
  <si>
    <t>TOT. EURO</t>
  </si>
  <si>
    <t>In "Sheet1"</t>
  </si>
  <si>
    <t>Delta</t>
  </si>
  <si>
    <t>EUR</t>
  </si>
  <si>
    <t>001-030</t>
  </si>
  <si>
    <t>045</t>
  </si>
  <si>
    <t>081-086</t>
  </si>
  <si>
    <t>093</t>
  </si>
  <si>
    <t>121</t>
  </si>
  <si>
    <t>122</t>
  </si>
  <si>
    <t>124</t>
  </si>
  <si>
    <t>165</t>
  </si>
  <si>
    <t>168</t>
  </si>
  <si>
    <t>The 13 projects under PA 13 ROP 14-20 becames 21 (split by component) = difference 7</t>
  </si>
  <si>
    <t>2 projects (Ialomita &amp; Teleorman) with EUR 11 M each</t>
  </si>
  <si>
    <t>Comments</t>
  </si>
  <si>
    <t xml:space="preserve">By far biggest weigth of all phased projects </t>
  </si>
  <si>
    <t>% on total phasing</t>
  </si>
  <si>
    <t>Education infrastructure overall = 13.95%</t>
  </si>
  <si>
    <t>Big pressure on limited allocation</t>
  </si>
  <si>
    <t>INSERTED FROM FINANCIAL TABLE</t>
  </si>
  <si>
    <t>CONCLUSIONS</t>
  </si>
  <si>
    <t>2.8. - mobilitate urbana MRJ+Alte municipii și orașe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</si>
</sst>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sz val="11"/>
      <color theme="1"/>
      <name val="Trebuchet MS"/>
      <family val="2"/>
    </font>
    <font>
      <b/>
      <sz val="9"/>
      <name val="Trebuchet MS"/>
      <family val="2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8" tint="0.39997558519241921"/>
        <bgColor theme="4"/>
      </patternFill>
    </fill>
    <fill>
      <patternFill patternType="solid">
        <fgColor rgb="FF92D050"/>
        <bgColor theme="4"/>
      </patternFill>
    </fill>
    <fill>
      <patternFill patternType="solid">
        <fgColor rgb="FFFFC000"/>
        <bgColor theme="4"/>
      </patternFill>
    </fill>
    <fill>
      <patternFill patternType="solid">
        <fgColor rgb="FFFFFF00"/>
        <bgColor theme="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theme="4"/>
      </patternFill>
    </fill>
    <fill>
      <patternFill patternType="solid">
        <fgColor rgb="FF00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0" fillId="0" borderId="0"/>
    <xf numFmtId="0" fontId="1" fillId="0" borderId="0"/>
  </cellStyleXfs>
  <cellXfs count="96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vertical="top" wrapText="1"/>
    </xf>
    <xf numFmtId="0" fontId="0" fillId="0" borderId="0" xfId="0" applyAlignment="1">
      <alignment horizontal="right" vertical="top"/>
    </xf>
    <xf numFmtId="0" fontId="0" fillId="0" borderId="1" xfId="0" applyBorder="1" applyAlignment="1">
      <alignment horizontal="right" vertical="top"/>
    </xf>
    <xf numFmtId="4" fontId="0" fillId="0" borderId="0" xfId="0" applyNumberFormat="1" applyAlignment="1">
      <alignment vertical="top"/>
    </xf>
    <xf numFmtId="0" fontId="0" fillId="2" borderId="0" xfId="0" applyFill="1" applyAlignment="1">
      <alignment vertical="top"/>
    </xf>
    <xf numFmtId="4" fontId="2" fillId="0" borderId="1" xfId="0" applyNumberFormat="1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10" fontId="3" fillId="0" borderId="1" xfId="0" applyNumberFormat="1" applyFont="1" applyBorder="1" applyAlignment="1">
      <alignment vertical="top"/>
    </xf>
    <xf numFmtId="0" fontId="2" fillId="4" borderId="1" xfId="0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right" vertical="top" wrapText="1"/>
    </xf>
    <xf numFmtId="0" fontId="0" fillId="4" borderId="1" xfId="0" applyFill="1" applyBorder="1" applyAlignment="1">
      <alignment horizontal="center" vertical="top" wrapText="1"/>
    </xf>
    <xf numFmtId="0" fontId="0" fillId="4" borderId="1" xfId="0" applyFill="1" applyBorder="1" applyAlignment="1">
      <alignment vertical="top" wrapText="1"/>
    </xf>
    <xf numFmtId="4" fontId="0" fillId="4" borderId="1" xfId="0" applyNumberFormat="1" applyFill="1" applyBorder="1" applyAlignment="1">
      <alignment horizontal="right" vertical="top" wrapText="1"/>
    </xf>
    <xf numFmtId="10" fontId="0" fillId="4" borderId="1" xfId="0" applyNumberFormat="1" applyFill="1" applyBorder="1" applyAlignment="1">
      <alignment horizontal="center" vertical="top" wrapText="1"/>
    </xf>
    <xf numFmtId="4" fontId="0" fillId="4" borderId="1" xfId="0" applyNumberFormat="1" applyFill="1" applyBorder="1" applyAlignment="1">
      <alignment horizontal="right" vertical="top"/>
    </xf>
    <xf numFmtId="0" fontId="0" fillId="5" borderId="0" xfId="0" applyFill="1" applyAlignment="1">
      <alignment vertical="top"/>
    </xf>
    <xf numFmtId="0" fontId="4" fillId="0" borderId="0" xfId="0" applyFont="1" applyAlignment="1">
      <alignment vertical="top" wrapText="1"/>
    </xf>
    <xf numFmtId="0" fontId="4" fillId="2" borderId="0" xfId="0" applyFont="1" applyFill="1" applyAlignment="1">
      <alignment vertical="top" wrapText="1"/>
    </xf>
    <xf numFmtId="4" fontId="5" fillId="0" borderId="0" xfId="0" applyNumberFormat="1" applyFont="1" applyAlignment="1">
      <alignment vertical="top" wrapText="1"/>
    </xf>
    <xf numFmtId="4" fontId="4" fillId="0" borderId="0" xfId="0" applyNumberFormat="1" applyFont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vertical="top" wrapText="1"/>
    </xf>
    <xf numFmtId="0" fontId="4" fillId="6" borderId="0" xfId="0" applyFont="1" applyFill="1" applyAlignment="1">
      <alignment vertical="top" wrapText="1"/>
    </xf>
    <xf numFmtId="4" fontId="6" fillId="6" borderId="1" xfId="0" applyNumberFormat="1" applyFont="1" applyFill="1" applyBorder="1" applyAlignment="1">
      <alignment horizontal="right" vertical="top" wrapText="1"/>
    </xf>
    <xf numFmtId="4" fontId="4" fillId="6" borderId="1" xfId="0" applyNumberFormat="1" applyFont="1" applyFill="1" applyBorder="1" applyAlignment="1">
      <alignment horizontal="right" vertical="top" wrapText="1"/>
    </xf>
    <xf numFmtId="0" fontId="4" fillId="6" borderId="1" xfId="0" applyFont="1" applyFill="1" applyBorder="1" applyAlignment="1">
      <alignment vertical="top" wrapText="1"/>
    </xf>
    <xf numFmtId="4" fontId="11" fillId="7" borderId="1" xfId="2" applyNumberFormat="1" applyFont="1" applyFill="1" applyBorder="1" applyAlignment="1">
      <alignment horizontal="center" vertical="top" wrapText="1"/>
    </xf>
    <xf numFmtId="4" fontId="11" fillId="2" borderId="1" xfId="2" applyNumberFormat="1" applyFont="1" applyFill="1" applyBorder="1" applyAlignment="1">
      <alignment horizontal="center" vertical="top" wrapText="1"/>
    </xf>
    <xf numFmtId="4" fontId="11" fillId="8" borderId="1" xfId="2" applyNumberFormat="1" applyFont="1" applyFill="1" applyBorder="1" applyAlignment="1">
      <alignment horizontal="center" vertical="top" wrapText="1"/>
    </xf>
    <xf numFmtId="4" fontId="11" fillId="9" borderId="1" xfId="2" applyNumberFormat="1" applyFont="1" applyFill="1" applyBorder="1" applyAlignment="1">
      <alignment horizontal="center" vertical="top" wrapText="1"/>
    </xf>
    <xf numFmtId="4" fontId="11" fillId="10" borderId="1" xfId="2" applyNumberFormat="1" applyFont="1" applyFill="1" applyBorder="1" applyAlignment="1">
      <alignment horizontal="center" vertical="top" wrapText="1"/>
    </xf>
    <xf numFmtId="14" fontId="11" fillId="8" borderId="1" xfId="2" applyNumberFormat="1" applyFont="1" applyFill="1" applyBorder="1" applyAlignment="1">
      <alignment horizontal="center" vertical="top" wrapText="1"/>
    </xf>
    <xf numFmtId="14" fontId="11" fillId="10" borderId="1" xfId="2" applyNumberFormat="1" applyFont="1" applyFill="1" applyBorder="1" applyAlignment="1">
      <alignment horizontal="center" vertical="top" wrapText="1"/>
    </xf>
    <xf numFmtId="3" fontId="11" fillId="8" borderId="1" xfId="2" applyNumberFormat="1" applyFont="1" applyFill="1" applyBorder="1" applyAlignment="1">
      <alignment horizontal="center" vertical="top" wrapText="1"/>
    </xf>
    <xf numFmtId="0" fontId="11" fillId="8" borderId="1" xfId="2" applyFont="1" applyFill="1" applyBorder="1" applyAlignment="1">
      <alignment horizontal="center" vertical="top" wrapText="1"/>
    </xf>
    <xf numFmtId="1" fontId="11" fillId="8" borderId="1" xfId="2" applyNumberFormat="1" applyFont="1" applyFill="1" applyBorder="1" applyAlignment="1">
      <alignment horizontal="center" vertical="top" wrapText="1"/>
    </xf>
    <xf numFmtId="4" fontId="4" fillId="11" borderId="1" xfId="0" applyNumberFormat="1" applyFont="1" applyFill="1" applyBorder="1" applyAlignment="1">
      <alignment horizontal="right" vertical="top" wrapText="1"/>
    </xf>
    <xf numFmtId="4" fontId="5" fillId="11" borderId="0" xfId="0" applyNumberFormat="1" applyFont="1" applyFill="1" applyAlignment="1">
      <alignment vertical="top" wrapText="1"/>
    </xf>
    <xf numFmtId="0" fontId="5" fillId="11" borderId="1" xfId="0" applyFont="1" applyFill="1" applyBorder="1" applyAlignment="1">
      <alignment vertical="top" wrapText="1"/>
    </xf>
    <xf numFmtId="0" fontId="4" fillId="11" borderId="0" xfId="0" applyFont="1" applyFill="1" applyAlignment="1">
      <alignment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 wrapText="1"/>
    </xf>
    <xf numFmtId="4" fontId="7" fillId="0" borderId="1" xfId="0" applyNumberFormat="1" applyFont="1" applyBorder="1" applyAlignment="1">
      <alignment horizontal="right" vertical="top" wrapText="1"/>
    </xf>
    <xf numFmtId="14" fontId="4" fillId="0" borderId="1" xfId="0" applyNumberFormat="1" applyFont="1" applyBorder="1" applyAlignment="1">
      <alignment vertical="top" wrapText="1"/>
    </xf>
    <xf numFmtId="4" fontId="11" fillId="12" borderId="1" xfId="2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4" fontId="5" fillId="3" borderId="1" xfId="0" applyNumberFormat="1" applyFont="1" applyFill="1" applyBorder="1" applyAlignment="1">
      <alignment vertical="top" wrapText="1"/>
    </xf>
    <xf numFmtId="4" fontId="4" fillId="3" borderId="0" xfId="0" applyNumberFormat="1" applyFont="1" applyFill="1" applyAlignment="1">
      <alignment vertical="top" wrapText="1"/>
    </xf>
    <xf numFmtId="0" fontId="4" fillId="3" borderId="0" xfId="0" applyFont="1" applyFill="1" applyAlignment="1">
      <alignment vertical="top" wrapText="1"/>
    </xf>
    <xf numFmtId="49" fontId="0" fillId="0" borderId="0" xfId="0" applyNumberFormat="1" applyAlignment="1">
      <alignment vertical="top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4" fontId="0" fillId="0" borderId="1" xfId="0" applyNumberFormat="1" applyBorder="1" applyAlignment="1">
      <alignment vertical="top"/>
    </xf>
    <xf numFmtId="4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  <xf numFmtId="10" fontId="2" fillId="0" borderId="1" xfId="0" applyNumberFormat="1" applyFont="1" applyBorder="1" applyAlignment="1">
      <alignment vertical="top" wrapText="1"/>
    </xf>
    <xf numFmtId="4" fontId="5" fillId="2" borderId="1" xfId="0" applyNumberFormat="1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1" fontId="2" fillId="0" borderId="1" xfId="0" applyNumberFormat="1" applyFont="1" applyBorder="1" applyAlignment="1">
      <alignment vertical="top"/>
    </xf>
    <xf numFmtId="0" fontId="13" fillId="0" borderId="0" xfId="0" applyFont="1" applyAlignment="1">
      <alignment vertical="top"/>
    </xf>
    <xf numFmtId="0" fontId="13" fillId="2" borderId="0" xfId="0" applyFont="1" applyFill="1" applyAlignment="1">
      <alignment vertical="top"/>
    </xf>
    <xf numFmtId="4" fontId="13" fillId="2" borderId="0" xfId="0" applyNumberFormat="1" applyFont="1" applyFill="1" applyAlignment="1">
      <alignment vertical="top"/>
    </xf>
    <xf numFmtId="0" fontId="2" fillId="0" borderId="0" xfId="0" applyFont="1" applyAlignment="1">
      <alignment vertical="top"/>
    </xf>
    <xf numFmtId="0" fontId="14" fillId="0" borderId="0" xfId="0" applyFont="1" applyAlignment="1">
      <alignment vertical="top"/>
    </xf>
    <xf numFmtId="0" fontId="12" fillId="11" borderId="1" xfId="0" applyFont="1" applyFill="1" applyBorder="1" applyAlignment="1">
      <alignment vertical="top" wrapText="1"/>
    </xf>
    <xf numFmtId="10" fontId="12" fillId="11" borderId="1" xfId="1" applyNumberFormat="1" applyFont="1" applyFill="1" applyBorder="1" applyAlignment="1">
      <alignment vertical="top"/>
    </xf>
    <xf numFmtId="10" fontId="12" fillId="11" borderId="1" xfId="0" applyNumberFormat="1" applyFont="1" applyFill="1" applyBorder="1" applyAlignment="1">
      <alignment vertical="top"/>
    </xf>
    <xf numFmtId="4" fontId="3" fillId="0" borderId="1" xfId="0" applyNumberFormat="1" applyFont="1" applyBorder="1" applyAlignment="1">
      <alignment vertical="top"/>
    </xf>
    <xf numFmtId="4" fontId="3" fillId="0" borderId="0" xfId="0" applyNumberFormat="1" applyFont="1" applyAlignment="1">
      <alignment vertical="top"/>
    </xf>
    <xf numFmtId="2" fontId="2" fillId="0" borderId="0" xfId="0" applyNumberFormat="1" applyFont="1" applyAlignment="1">
      <alignment vertical="top"/>
    </xf>
    <xf numFmtId="2" fontId="2" fillId="2" borderId="0" xfId="0" applyNumberFormat="1" applyFont="1" applyFill="1" applyAlignment="1">
      <alignment vertical="top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4" fontId="0" fillId="0" borderId="1" xfId="0" applyNumberFormat="1" applyBorder="1" applyAlignment="1">
      <alignment vertical="top" wrapText="1"/>
    </xf>
    <xf numFmtId="3" fontId="0" fillId="0" borderId="3" xfId="0" applyNumberFormat="1" applyBorder="1" applyAlignment="1">
      <alignment vertical="top" wrapText="1"/>
    </xf>
    <xf numFmtId="0" fontId="0" fillId="0" borderId="3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2" fillId="13" borderId="1" xfId="0" applyFont="1" applyFill="1" applyBorder="1" applyAlignment="1">
      <alignment vertical="top"/>
    </xf>
    <xf numFmtId="4" fontId="2" fillId="13" borderId="1" xfId="0" applyNumberFormat="1" applyFont="1" applyFill="1" applyBorder="1" applyAlignment="1">
      <alignment vertical="top"/>
    </xf>
    <xf numFmtId="49" fontId="2" fillId="3" borderId="1" xfId="0" applyNumberFormat="1" applyFont="1" applyFill="1" applyBorder="1" applyAlignment="1">
      <alignment vertical="top" wrapText="1"/>
    </xf>
    <xf numFmtId="0" fontId="0" fillId="5" borderId="1" xfId="0" applyFill="1" applyBorder="1" applyAlignment="1">
      <alignment vertical="top"/>
    </xf>
    <xf numFmtId="4" fontId="0" fillId="5" borderId="1" xfId="0" applyNumberFormat="1" applyFill="1" applyBorder="1" applyAlignment="1">
      <alignment vertical="top"/>
    </xf>
    <xf numFmtId="0" fontId="2" fillId="13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right" vertical="top"/>
    </xf>
  </cellXfs>
  <cellStyles count="4">
    <cellStyle name="Normal" xfId="0" builtinId="0"/>
    <cellStyle name="Normal 2" xfId="2" xr:uid="{D648653C-D735-4B34-BF2E-1D4860D265FE}"/>
    <cellStyle name="Normal 26 2" xfId="3" xr:uid="{F58261AB-8184-4FBA-863D-396DFA678E96}"/>
    <cellStyle name="Percent" xfId="1" builtinId="5"/>
  </cellStyles>
  <dxfs count="0"/>
  <tableStyles count="0" defaultTableStyle="TableStyleMedium2" defaultPivotStyle="PivotStyleLight16"/>
  <colors>
    <mruColors>
      <color rgb="FF00FFFF"/>
      <color rgb="FFFF66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Q9"/>
  <sheetViews>
    <sheetView tabSelected="1" zoomScale="70" zoomScaleNormal="70" workbookViewId="0">
      <pane ySplit="3" topLeftCell="A4" activePane="bottomLeft" state="frozen"/>
      <selection pane="bottomLeft" activeCell="S5" sqref="S5"/>
    </sheetView>
  </sheetViews>
  <sheetFormatPr defaultColWidth="8.88671875" defaultRowHeight="14.4" x14ac:dyDescent="0.3"/>
  <cols>
    <col min="1" max="5" width="8.88671875" style="1"/>
    <col min="6" max="6" width="25.109375" style="1" customWidth="1"/>
    <col min="7" max="7" width="22.33203125" style="1" customWidth="1"/>
    <col min="8" max="8" width="12" style="1" customWidth="1"/>
    <col min="9" max="9" width="19.109375" style="5" customWidth="1"/>
    <col min="10" max="10" width="19.5546875" style="5" customWidth="1"/>
    <col min="11" max="12" width="11.88671875" style="1" customWidth="1"/>
    <col min="13" max="13" width="24" style="6" customWidth="1"/>
    <col min="14" max="14" width="23.44140625" style="3" customWidth="1"/>
    <col min="15" max="15" width="22.109375" style="1" customWidth="1"/>
    <col min="16" max="16" width="20.44140625" style="18" customWidth="1"/>
    <col min="17" max="17" width="20.33203125" style="1" customWidth="1"/>
    <col min="18" max="16384" width="8.88671875" style="1"/>
  </cols>
  <sheetData>
    <row r="2" spans="1:17" ht="57.6" customHeight="1" x14ac:dyDescent="0.3">
      <c r="A2" s="93" t="s">
        <v>0</v>
      </c>
      <c r="B2" s="93" t="s">
        <v>1</v>
      </c>
      <c r="C2" s="93" t="s">
        <v>2</v>
      </c>
      <c r="D2" s="93" t="s">
        <v>3</v>
      </c>
      <c r="E2" s="93" t="s">
        <v>4</v>
      </c>
      <c r="F2" s="93" t="s">
        <v>5</v>
      </c>
      <c r="G2" s="93" t="s">
        <v>6</v>
      </c>
      <c r="H2" s="93" t="s">
        <v>7</v>
      </c>
      <c r="I2" s="7" t="s">
        <v>8</v>
      </c>
      <c r="J2" s="7" t="s">
        <v>59</v>
      </c>
      <c r="K2" s="93" t="s">
        <v>60</v>
      </c>
      <c r="L2" s="93" t="s">
        <v>61</v>
      </c>
      <c r="M2" s="8" t="s">
        <v>10</v>
      </c>
      <c r="N2" s="9" t="s">
        <v>43</v>
      </c>
      <c r="O2" s="9" t="s">
        <v>44</v>
      </c>
      <c r="P2" s="9" t="s">
        <v>134</v>
      </c>
      <c r="Q2" s="9" t="s">
        <v>58</v>
      </c>
    </row>
    <row r="3" spans="1:17" ht="49.2" customHeight="1" x14ac:dyDescent="0.3">
      <c r="A3" s="93"/>
      <c r="B3" s="93"/>
      <c r="C3" s="93"/>
      <c r="D3" s="93"/>
      <c r="E3" s="93"/>
      <c r="F3" s="93"/>
      <c r="G3" s="93"/>
      <c r="H3" s="93"/>
      <c r="I3" s="7" t="s">
        <v>9</v>
      </c>
      <c r="J3" s="7" t="s">
        <v>9</v>
      </c>
      <c r="K3" s="93"/>
      <c r="L3" s="93"/>
      <c r="M3" s="8" t="s">
        <v>11</v>
      </c>
      <c r="N3" s="4"/>
      <c r="O3" s="59"/>
      <c r="P3" s="90"/>
      <c r="Q3" s="59"/>
    </row>
    <row r="4" spans="1:17" ht="86.4" x14ac:dyDescent="0.3">
      <c r="A4" s="11">
        <v>32</v>
      </c>
      <c r="B4" s="12">
        <v>113119</v>
      </c>
      <c r="C4" s="13">
        <v>7</v>
      </c>
      <c r="D4" s="13" t="s">
        <v>14</v>
      </c>
      <c r="E4" s="14" t="s">
        <v>12</v>
      </c>
      <c r="F4" s="14" t="s">
        <v>15</v>
      </c>
      <c r="G4" s="14" t="s">
        <v>13</v>
      </c>
      <c r="H4" s="12" t="s">
        <v>16</v>
      </c>
      <c r="I4" s="15">
        <v>22478322.300000001</v>
      </c>
      <c r="J4" s="15">
        <v>21727395.460000001</v>
      </c>
      <c r="K4" s="16">
        <f>M4/J4</f>
        <v>0.9431726070309211</v>
      </c>
      <c r="L4" s="16">
        <f t="shared" ref="L4:L6" si="0">M4/P4</f>
        <v>0.9431726070309211</v>
      </c>
      <c r="M4" s="15">
        <v>20492684.219999999</v>
      </c>
      <c r="N4" s="17">
        <f>P4-M4</f>
        <v>1234711.2400000021</v>
      </c>
      <c r="O4" s="17">
        <f t="shared" ref="O4:O6" si="1">N4/4.9753</f>
        <v>248168.19890257917</v>
      </c>
      <c r="P4" s="91">
        <v>21727395.460000001</v>
      </c>
      <c r="Q4" s="60">
        <f t="shared" ref="Q4:Q6" si="2">P4-J4</f>
        <v>0</v>
      </c>
    </row>
    <row r="5" spans="1:17" ht="72" x14ac:dyDescent="0.3">
      <c r="A5" s="11">
        <v>33</v>
      </c>
      <c r="B5" s="12">
        <v>116873</v>
      </c>
      <c r="C5" s="13">
        <v>7</v>
      </c>
      <c r="D5" s="13" t="s">
        <v>14</v>
      </c>
      <c r="E5" s="14" t="s">
        <v>12</v>
      </c>
      <c r="F5" s="14" t="s">
        <v>17</v>
      </c>
      <c r="G5" s="14" t="s">
        <v>13</v>
      </c>
      <c r="H5" s="12" t="s">
        <v>16</v>
      </c>
      <c r="I5" s="15">
        <v>20196932.620000001</v>
      </c>
      <c r="J5" s="15">
        <v>19289324.550000001</v>
      </c>
      <c r="K5" s="16">
        <f>M5/J5</f>
        <v>0.97417671734907885</v>
      </c>
      <c r="L5" s="16">
        <f t="shared" si="0"/>
        <v>0.89690735842561997</v>
      </c>
      <c r="M5" s="15">
        <v>18791210.869999997</v>
      </c>
      <c r="N5" s="17">
        <f t="shared" ref="N5:N6" si="3">P5-M5</f>
        <v>2159905.9800000042</v>
      </c>
      <c r="O5" s="17">
        <f t="shared" si="1"/>
        <v>434125.77734006074</v>
      </c>
      <c r="P5" s="91">
        <v>20951116.850000001</v>
      </c>
      <c r="Q5" s="60">
        <f t="shared" si="2"/>
        <v>1661792.3000000007</v>
      </c>
    </row>
    <row r="6" spans="1:17" ht="57.6" x14ac:dyDescent="0.3">
      <c r="A6" s="11">
        <v>34</v>
      </c>
      <c r="B6" s="12">
        <v>119643</v>
      </c>
      <c r="C6" s="13">
        <v>7</v>
      </c>
      <c r="D6" s="13" t="s">
        <v>14</v>
      </c>
      <c r="E6" s="14" t="s">
        <v>12</v>
      </c>
      <c r="F6" s="14" t="s">
        <v>18</v>
      </c>
      <c r="G6" s="14" t="s">
        <v>13</v>
      </c>
      <c r="H6" s="12" t="s">
        <v>19</v>
      </c>
      <c r="I6" s="15">
        <v>21816874.18</v>
      </c>
      <c r="J6" s="15">
        <v>20533641.489999998</v>
      </c>
      <c r="K6" s="16">
        <f>M6/J6</f>
        <v>0.7401619662738157</v>
      </c>
      <c r="L6" s="16">
        <f t="shared" si="0"/>
        <v>0.7401619662738157</v>
      </c>
      <c r="M6" s="15">
        <v>15198220.460000001</v>
      </c>
      <c r="N6" s="17">
        <f t="shared" si="3"/>
        <v>5335421.0299999975</v>
      </c>
      <c r="O6" s="17">
        <f t="shared" si="1"/>
        <v>1072381.7719534496</v>
      </c>
      <c r="P6" s="91">
        <v>20533641.489999998</v>
      </c>
      <c r="Q6" s="60">
        <f t="shared" si="2"/>
        <v>0</v>
      </c>
    </row>
    <row r="7" spans="1:17" ht="30" customHeight="1" x14ac:dyDescent="0.3">
      <c r="A7" s="92" t="s">
        <v>56</v>
      </c>
      <c r="B7" s="92"/>
      <c r="C7" s="92"/>
      <c r="D7" s="92"/>
      <c r="E7" s="92"/>
      <c r="F7" s="87"/>
      <c r="G7" s="87"/>
      <c r="H7" s="87"/>
      <c r="I7" s="88"/>
      <c r="J7" s="88"/>
      <c r="K7" s="87"/>
      <c r="L7" s="87"/>
      <c r="M7" s="88">
        <f>SUM(M4,M5,M6)</f>
        <v>54482115.549999997</v>
      </c>
      <c r="N7" s="88">
        <f>SUM(N4,N5,N6)</f>
        <v>8730038.2500000037</v>
      </c>
      <c r="O7" s="88">
        <f>SUM(O4,O5,O6)</f>
        <v>1754675.7481960896</v>
      </c>
      <c r="P7" s="88">
        <f>SUM(P4,P5,P6)</f>
        <v>63212153.799999997</v>
      </c>
      <c r="Q7" s="88">
        <f>SUM(Q4,Q5,Q6)</f>
        <v>1661792.3000000007</v>
      </c>
    </row>
    <row r="9" spans="1:17" x14ac:dyDescent="0.3">
      <c r="O9" s="1">
        <f>N7/O7</f>
        <v>4.9752999999999998</v>
      </c>
    </row>
  </sheetData>
  <autoFilter ref="A2:M7" xr:uid="{00000000-0001-0000-0000-000000000000}"/>
  <mergeCells count="11">
    <mergeCell ref="A7:E7"/>
    <mergeCell ref="L2:L3"/>
    <mergeCell ref="K2:K3"/>
    <mergeCell ref="A2:A3"/>
    <mergeCell ref="B2:B3"/>
    <mergeCell ref="C2:C3"/>
    <mergeCell ref="D2:D3"/>
    <mergeCell ref="E2:E3"/>
    <mergeCell ref="F2:F3"/>
    <mergeCell ref="G2:G3"/>
    <mergeCell ref="H2:H3"/>
  </mergeCells>
  <pageMargins left="0.25" right="0.25" top="0.75" bottom="0.75" header="0.3" footer="0.3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87E61-DF2E-45B0-A2B8-1B6595932CA9}">
  <sheetPr>
    <pageSetUpPr fitToPage="1"/>
  </sheetPr>
  <dimension ref="A1:AY27"/>
  <sheetViews>
    <sheetView topLeftCell="H4" zoomScale="90" zoomScaleNormal="90" workbookViewId="0">
      <selection activeCell="T30" sqref="T30"/>
    </sheetView>
  </sheetViews>
  <sheetFormatPr defaultColWidth="8.88671875" defaultRowHeight="12" x14ac:dyDescent="0.3"/>
  <cols>
    <col min="1" max="2" width="9" style="19" bestFit="1" customWidth="1"/>
    <col min="3" max="3" width="8.88671875" style="19" customWidth="1"/>
    <col min="4" max="6" width="8.88671875" style="19" hidden="1" customWidth="1"/>
    <col min="7" max="7" width="20.44140625" style="19" customWidth="1"/>
    <col min="8" max="8" width="14.33203125" style="19" customWidth="1"/>
    <col min="9" max="9" width="8.88671875" style="19" hidden="1" customWidth="1"/>
    <col min="10" max="12" width="10.109375" style="19" hidden="1" customWidth="1"/>
    <col min="13" max="13" width="12.109375" style="19" customWidth="1"/>
    <col min="14" max="14" width="11.88671875" style="19" customWidth="1"/>
    <col min="15" max="15" width="12.44140625" style="19" hidden="1" customWidth="1"/>
    <col min="16" max="16" width="11.44140625" style="19" hidden="1" customWidth="1"/>
    <col min="17" max="17" width="10" style="19" hidden="1" customWidth="1"/>
    <col min="18" max="18" width="11.109375" style="19" customWidth="1"/>
    <col min="19" max="19" width="13.6640625" style="20" bestFit="1" customWidth="1"/>
    <col min="20" max="20" width="13.88671875" style="47" bestFit="1" customWidth="1"/>
    <col min="21" max="21" width="13.6640625" style="56" bestFit="1" customWidth="1"/>
    <col min="22" max="22" width="12.6640625" style="19" bestFit="1" customWidth="1"/>
    <col min="23" max="23" width="12.33203125" style="19" customWidth="1"/>
    <col min="24" max="24" width="17.88671875" style="19" customWidth="1"/>
    <col min="25" max="25" width="11.5546875" style="19" bestFit="1" customWidth="1"/>
    <col min="26" max="26" width="14.88671875" style="19" customWidth="1"/>
    <col min="27" max="27" width="12.109375" style="19" customWidth="1"/>
    <col min="28" max="28" width="12.5546875" style="19" customWidth="1"/>
    <col min="29" max="30" width="11.5546875" style="19" bestFit="1" customWidth="1"/>
    <col min="31" max="31" width="13.109375" style="19" customWidth="1"/>
    <col min="32" max="32" width="13.88671875" style="19" customWidth="1"/>
    <col min="33" max="33" width="12.33203125" style="19" bestFit="1" customWidth="1"/>
    <col min="34" max="34" width="11.33203125" style="19" bestFit="1" customWidth="1"/>
    <col min="35" max="35" width="11.6640625" style="19" bestFit="1" customWidth="1"/>
    <col min="36" max="36" width="8.88671875" style="19"/>
    <col min="37" max="37" width="11.33203125" style="19" bestFit="1" customWidth="1"/>
    <col min="38" max="38" width="14" style="19" customWidth="1"/>
    <col min="39" max="39" width="11.44140625" style="19" bestFit="1" customWidth="1"/>
    <col min="40" max="40" width="8.88671875" style="19"/>
    <col min="41" max="42" width="9.88671875" style="19" bestFit="1" customWidth="1"/>
    <col min="43" max="43" width="10" style="19" bestFit="1" customWidth="1"/>
    <col min="44" max="44" width="8.88671875" style="19"/>
    <col min="45" max="45" width="10.109375" style="19" bestFit="1" customWidth="1"/>
    <col min="46" max="46" width="9" style="19" bestFit="1" customWidth="1"/>
    <col min="47" max="47" width="12.33203125" style="19" bestFit="1" customWidth="1"/>
    <col min="48" max="51" width="0" style="19" hidden="1" customWidth="1"/>
    <col min="52" max="16384" width="8.88671875" style="19"/>
  </cols>
  <sheetData>
    <row r="1" spans="1:51" ht="66" x14ac:dyDescent="0.3">
      <c r="A1" s="43" t="s">
        <v>0</v>
      </c>
      <c r="B1" s="43" t="s">
        <v>1</v>
      </c>
      <c r="C1" s="42" t="s">
        <v>2</v>
      </c>
      <c r="D1" s="42" t="s">
        <v>3</v>
      </c>
      <c r="E1" s="42" t="s">
        <v>131</v>
      </c>
      <c r="F1" s="42" t="s">
        <v>4</v>
      </c>
      <c r="G1" s="42" t="s">
        <v>5</v>
      </c>
      <c r="H1" s="42" t="s">
        <v>6</v>
      </c>
      <c r="I1" s="41" t="s">
        <v>130</v>
      </c>
      <c r="J1" s="39" t="s">
        <v>129</v>
      </c>
      <c r="K1" s="40" t="s">
        <v>7</v>
      </c>
      <c r="L1" s="39" t="s">
        <v>128</v>
      </c>
      <c r="M1" s="38" t="s">
        <v>127</v>
      </c>
      <c r="N1" s="37" t="s">
        <v>126</v>
      </c>
      <c r="O1" s="36" t="s">
        <v>125</v>
      </c>
      <c r="P1" s="36" t="s">
        <v>124</v>
      </c>
      <c r="Q1" s="36" t="s">
        <v>123</v>
      </c>
      <c r="R1" s="36" t="s">
        <v>122</v>
      </c>
      <c r="S1" s="35" t="s">
        <v>132</v>
      </c>
      <c r="T1" s="36" t="s">
        <v>105</v>
      </c>
      <c r="U1" s="52" t="s">
        <v>121</v>
      </c>
      <c r="V1" s="34" t="s">
        <v>104</v>
      </c>
      <c r="W1" s="34" t="s">
        <v>120</v>
      </c>
      <c r="X1" s="34" t="s">
        <v>119</v>
      </c>
      <c r="Y1" s="34" t="s">
        <v>118</v>
      </c>
      <c r="Z1" s="34" t="s">
        <v>105</v>
      </c>
      <c r="AA1" s="34" t="s">
        <v>104</v>
      </c>
      <c r="AB1" s="34" t="s">
        <v>117</v>
      </c>
      <c r="AC1" s="34" t="s">
        <v>116</v>
      </c>
      <c r="AD1" s="34" t="s">
        <v>105</v>
      </c>
      <c r="AE1" s="34" t="s">
        <v>104</v>
      </c>
      <c r="AF1" s="34" t="s">
        <v>115</v>
      </c>
      <c r="AG1" s="34" t="s">
        <v>114</v>
      </c>
      <c r="AH1" s="34" t="s">
        <v>105</v>
      </c>
      <c r="AI1" s="34" t="s">
        <v>104</v>
      </c>
      <c r="AJ1" s="34" t="s">
        <v>113</v>
      </c>
      <c r="AK1" s="34" t="s">
        <v>112</v>
      </c>
      <c r="AL1" s="34" t="s">
        <v>105</v>
      </c>
      <c r="AM1" s="34" t="s">
        <v>104</v>
      </c>
      <c r="AN1" s="34" t="s">
        <v>111</v>
      </c>
      <c r="AO1" s="34" t="s">
        <v>110</v>
      </c>
      <c r="AP1" s="34" t="s">
        <v>105</v>
      </c>
      <c r="AQ1" s="34" t="s">
        <v>104</v>
      </c>
      <c r="AR1" s="34" t="s">
        <v>109</v>
      </c>
      <c r="AS1" s="34" t="s">
        <v>108</v>
      </c>
      <c r="AT1" s="34" t="s">
        <v>105</v>
      </c>
      <c r="AU1" s="34" t="s">
        <v>104</v>
      </c>
      <c r="AV1" s="34" t="s">
        <v>107</v>
      </c>
      <c r="AW1" s="34" t="s">
        <v>106</v>
      </c>
      <c r="AX1" s="34" t="s">
        <v>105</v>
      </c>
      <c r="AY1" s="34" t="s">
        <v>104</v>
      </c>
    </row>
    <row r="2" spans="1:51" ht="48" x14ac:dyDescent="0.3">
      <c r="A2" s="26">
        <v>1</v>
      </c>
      <c r="B2" s="26">
        <v>123324</v>
      </c>
      <c r="C2" s="26">
        <v>13</v>
      </c>
      <c r="D2" s="26">
        <v>13.1</v>
      </c>
      <c r="E2" s="26" t="s">
        <v>70</v>
      </c>
      <c r="F2" s="26" t="s">
        <v>33</v>
      </c>
      <c r="G2" s="26" t="s">
        <v>37</v>
      </c>
      <c r="H2" s="26" t="s">
        <v>36</v>
      </c>
      <c r="I2" s="26">
        <v>78</v>
      </c>
      <c r="J2" s="51">
        <v>42917</v>
      </c>
      <c r="K2" s="51">
        <v>43781</v>
      </c>
      <c r="L2" s="51">
        <v>45291</v>
      </c>
      <c r="M2" s="25">
        <v>22454779.949999999</v>
      </c>
      <c r="N2" s="25">
        <v>22454779.949999999</v>
      </c>
      <c r="O2" s="25">
        <v>19086562.949999999</v>
      </c>
      <c r="P2" s="25">
        <v>2919121.35</v>
      </c>
      <c r="Q2" s="25">
        <v>449095.65</v>
      </c>
      <c r="R2" s="25">
        <v>0</v>
      </c>
      <c r="S2" s="27">
        <f>Y2+AC2+AG2+AK2+AO2+AS2</f>
        <v>5214661.91</v>
      </c>
      <c r="T2" s="44">
        <f>Z2+AD2+AH2+AL2+AP2+AT2</f>
        <v>17240117.75</v>
      </c>
      <c r="U2" s="53">
        <f t="shared" ref="U2:U13" si="0">T2/4.9753</f>
        <v>3465141.3482604064</v>
      </c>
      <c r="V2" s="48">
        <f t="shared" ref="V2:V13" si="1">AA2+AE2+AI2+AM2+AQ2+AU2+AY2</f>
        <v>0</v>
      </c>
      <c r="W2" s="24">
        <f t="shared" ref="W2:W14" si="2">V2/4.942</f>
        <v>0</v>
      </c>
      <c r="X2" s="25" t="s">
        <v>103</v>
      </c>
      <c r="Y2" s="25">
        <v>4887310.58</v>
      </c>
      <c r="Z2" s="25">
        <v>16722185.550000001</v>
      </c>
      <c r="AA2" s="24"/>
      <c r="AB2" s="26" t="s">
        <v>102</v>
      </c>
      <c r="AC2" s="25">
        <v>327351.33</v>
      </c>
      <c r="AD2" s="25">
        <v>517932.2</v>
      </c>
      <c r="AE2" s="24">
        <v>0</v>
      </c>
      <c r="AF2" s="26"/>
      <c r="AG2" s="25"/>
      <c r="AH2" s="25"/>
      <c r="AI2" s="24"/>
      <c r="AJ2" s="26"/>
      <c r="AK2" s="25"/>
      <c r="AL2" s="25"/>
      <c r="AM2" s="24"/>
      <c r="AN2" s="26"/>
      <c r="AO2" s="25"/>
      <c r="AP2" s="25"/>
      <c r="AQ2" s="24"/>
      <c r="AR2" s="26"/>
      <c r="AS2" s="25"/>
      <c r="AT2" s="25"/>
      <c r="AU2" s="24"/>
      <c r="AV2" s="26"/>
      <c r="AW2" s="25"/>
      <c r="AX2" s="25"/>
      <c r="AY2" s="24"/>
    </row>
    <row r="3" spans="1:51" ht="36" x14ac:dyDescent="0.3">
      <c r="A3" s="26">
        <v>2</v>
      </c>
      <c r="B3" s="26">
        <v>123325</v>
      </c>
      <c r="C3" s="26">
        <v>13</v>
      </c>
      <c r="D3" s="26">
        <v>13.1</v>
      </c>
      <c r="E3" s="26" t="s">
        <v>70</v>
      </c>
      <c r="F3" s="26" t="s">
        <v>33</v>
      </c>
      <c r="G3" s="26" t="s">
        <v>38</v>
      </c>
      <c r="H3" s="26" t="s">
        <v>36</v>
      </c>
      <c r="I3" s="26">
        <v>70</v>
      </c>
      <c r="J3" s="51">
        <v>43160</v>
      </c>
      <c r="K3" s="51">
        <v>44042</v>
      </c>
      <c r="L3" s="51">
        <v>45291</v>
      </c>
      <c r="M3" s="25">
        <v>22998517.449999999</v>
      </c>
      <c r="N3" s="25">
        <v>22998517.449999999</v>
      </c>
      <c r="O3" s="25">
        <v>19548739.859999999</v>
      </c>
      <c r="P3" s="25">
        <v>2989806.28</v>
      </c>
      <c r="Q3" s="25">
        <v>459971.31</v>
      </c>
      <c r="R3" s="25">
        <v>0</v>
      </c>
      <c r="S3" s="27">
        <f t="shared" ref="S3:S14" si="3">Y3+AC3+AG3+AK3+AO3+AS3</f>
        <v>13060614.479999999</v>
      </c>
      <c r="T3" s="44">
        <f t="shared" ref="T3:T14" si="4">Z3+AD3+AH3+AL3+AP3+AT3</f>
        <v>4579314.03</v>
      </c>
      <c r="U3" s="53">
        <f t="shared" si="0"/>
        <v>920409.62957007624</v>
      </c>
      <c r="V3" s="48">
        <f t="shared" si="1"/>
        <v>5282582.67</v>
      </c>
      <c r="W3" s="24">
        <f t="shared" si="2"/>
        <v>1068915.9591258599</v>
      </c>
      <c r="X3" s="25" t="s">
        <v>96</v>
      </c>
      <c r="Y3" s="25">
        <v>214384.11</v>
      </c>
      <c r="AA3" s="24">
        <v>4624798.99</v>
      </c>
      <c r="AB3" s="26" t="s">
        <v>101</v>
      </c>
      <c r="AC3" s="25">
        <v>185644.01</v>
      </c>
      <c r="AD3" s="25">
        <v>4579314.03</v>
      </c>
      <c r="AE3" s="24">
        <v>0</v>
      </c>
      <c r="AF3" s="26" t="s">
        <v>100</v>
      </c>
      <c r="AG3" s="25">
        <v>12549648.689999999</v>
      </c>
      <c r="AH3" s="25">
        <v>0</v>
      </c>
      <c r="AI3" s="24">
        <v>0</v>
      </c>
      <c r="AJ3" s="26" t="s">
        <v>99</v>
      </c>
      <c r="AK3" s="25">
        <v>110937.67</v>
      </c>
      <c r="AM3" s="24">
        <v>657783.68000000005</v>
      </c>
      <c r="AN3" s="26"/>
      <c r="AO3" s="25"/>
      <c r="AP3" s="25"/>
      <c r="AQ3" s="24"/>
      <c r="AR3" s="26"/>
      <c r="AS3" s="25"/>
      <c r="AT3" s="25"/>
      <c r="AU3" s="24"/>
      <c r="AV3" s="26"/>
      <c r="AW3" s="25"/>
      <c r="AX3" s="25"/>
      <c r="AY3" s="24"/>
    </row>
    <row r="4" spans="1:51" s="30" customFormat="1" ht="60" x14ac:dyDescent="0.3">
      <c r="A4" s="26">
        <v>3</v>
      </c>
      <c r="B4" s="26">
        <v>123418</v>
      </c>
      <c r="C4" s="26">
        <v>13</v>
      </c>
      <c r="D4" s="26">
        <v>13.1</v>
      </c>
      <c r="E4" s="26" t="s">
        <v>70</v>
      </c>
      <c r="F4" s="26" t="s">
        <v>12</v>
      </c>
      <c r="G4" s="26" t="s">
        <v>21</v>
      </c>
      <c r="H4" s="26" t="s">
        <v>13</v>
      </c>
      <c r="I4" s="26">
        <v>70</v>
      </c>
      <c r="J4" s="51">
        <v>43166</v>
      </c>
      <c r="K4" s="51">
        <v>44041</v>
      </c>
      <c r="L4" s="51">
        <v>45291</v>
      </c>
      <c r="M4" s="25">
        <v>17984065.109999999</v>
      </c>
      <c r="N4" s="25">
        <v>17943164.719999999</v>
      </c>
      <c r="O4" s="25">
        <v>15251690.01</v>
      </c>
      <c r="P4" s="25">
        <v>2332611.42</v>
      </c>
      <c r="Q4" s="25">
        <v>358863.29</v>
      </c>
      <c r="R4" s="25">
        <v>40900.39</v>
      </c>
      <c r="S4" s="27">
        <f t="shared" si="3"/>
        <v>12160585.34</v>
      </c>
      <c r="T4" s="44">
        <f t="shared" si="4"/>
        <v>5782579.379999999</v>
      </c>
      <c r="U4" s="53">
        <f t="shared" si="0"/>
        <v>1162257.4276928022</v>
      </c>
      <c r="V4" s="48">
        <f t="shared" si="1"/>
        <v>0</v>
      </c>
      <c r="W4" s="24">
        <f t="shared" si="2"/>
        <v>0</v>
      </c>
      <c r="X4" s="25" t="s">
        <v>98</v>
      </c>
      <c r="Y4" s="25">
        <v>12160585.34</v>
      </c>
      <c r="Z4" s="25">
        <f>'AXA 13'!N4-'AXA 13'!Y4</f>
        <v>5782579.379999999</v>
      </c>
      <c r="AA4" s="24"/>
      <c r="AB4" s="26"/>
      <c r="AC4" s="25"/>
      <c r="AD4" s="25"/>
      <c r="AE4" s="24"/>
      <c r="AF4" s="26"/>
      <c r="AG4" s="25"/>
      <c r="AH4" s="25"/>
      <c r="AI4" s="24"/>
      <c r="AJ4" s="26"/>
      <c r="AK4" s="25"/>
      <c r="AL4" s="25"/>
      <c r="AM4" s="24"/>
      <c r="AN4" s="26"/>
      <c r="AO4" s="25"/>
      <c r="AP4" s="25"/>
      <c r="AQ4" s="24"/>
      <c r="AR4" s="26"/>
      <c r="AS4" s="25"/>
      <c r="AT4" s="25"/>
      <c r="AU4" s="24"/>
      <c r="AV4" s="33"/>
      <c r="AW4" s="32"/>
      <c r="AX4" s="32"/>
      <c r="AY4" s="31"/>
    </row>
    <row r="5" spans="1:51" s="30" customFormat="1" ht="48" x14ac:dyDescent="0.3">
      <c r="A5" s="26">
        <v>4</v>
      </c>
      <c r="B5" s="26">
        <v>123868</v>
      </c>
      <c r="C5" s="26">
        <v>13</v>
      </c>
      <c r="D5" s="26">
        <v>13.1</v>
      </c>
      <c r="E5" s="26" t="s">
        <v>70</v>
      </c>
      <c r="F5" s="26" t="s">
        <v>12</v>
      </c>
      <c r="G5" s="26" t="s">
        <v>22</v>
      </c>
      <c r="H5" s="26" t="s">
        <v>20</v>
      </c>
      <c r="I5" s="26">
        <v>72</v>
      </c>
      <c r="J5" s="51">
        <v>43101</v>
      </c>
      <c r="K5" s="51">
        <v>44298</v>
      </c>
      <c r="L5" s="51">
        <v>45291</v>
      </c>
      <c r="M5" s="25">
        <v>27114421.949999999</v>
      </c>
      <c r="N5" s="25">
        <v>23255980.300000001</v>
      </c>
      <c r="O5" s="25">
        <v>19767583.239999998</v>
      </c>
      <c r="P5" s="25">
        <v>3023277.41</v>
      </c>
      <c r="Q5" s="25">
        <v>465119.65</v>
      </c>
      <c r="R5" s="25">
        <v>3858441.65</v>
      </c>
      <c r="S5" s="27">
        <f t="shared" si="3"/>
        <v>3370912.28</v>
      </c>
      <c r="T5" s="44">
        <f t="shared" si="4"/>
        <v>10248588.33</v>
      </c>
      <c r="U5" s="53">
        <f t="shared" si="0"/>
        <v>2059893.5400880349</v>
      </c>
      <c r="V5" s="48">
        <f t="shared" si="1"/>
        <v>9636479.6899999995</v>
      </c>
      <c r="W5" s="24">
        <f t="shared" si="2"/>
        <v>1949914.9514366651</v>
      </c>
      <c r="X5" s="25" t="s">
        <v>97</v>
      </c>
      <c r="Y5" s="25">
        <v>167994.65</v>
      </c>
      <c r="Z5" s="25">
        <v>10248588.33</v>
      </c>
      <c r="AA5" s="24">
        <v>0</v>
      </c>
      <c r="AB5" s="25" t="s">
        <v>96</v>
      </c>
      <c r="AC5" s="25">
        <v>136674.65</v>
      </c>
      <c r="AD5" s="25">
        <v>0</v>
      </c>
      <c r="AE5" s="24">
        <v>2911111.85</v>
      </c>
      <c r="AF5" s="26" t="s">
        <v>93</v>
      </c>
      <c r="AG5" s="25">
        <v>3066242.98</v>
      </c>
      <c r="AH5" s="25">
        <v>0</v>
      </c>
      <c r="AI5" s="24">
        <v>6725367.8399999999</v>
      </c>
      <c r="AJ5" s="26"/>
      <c r="AK5" s="25"/>
      <c r="AL5" s="25"/>
      <c r="AM5" s="24"/>
      <c r="AN5" s="26"/>
      <c r="AO5" s="25"/>
      <c r="AP5" s="25"/>
      <c r="AQ5" s="24"/>
      <c r="AR5" s="26"/>
      <c r="AS5" s="25"/>
      <c r="AT5" s="25"/>
      <c r="AU5" s="24"/>
      <c r="AV5" s="33"/>
      <c r="AW5" s="32"/>
      <c r="AX5" s="32"/>
      <c r="AY5" s="31"/>
    </row>
    <row r="6" spans="1:51" s="30" customFormat="1" ht="60" x14ac:dyDescent="0.3">
      <c r="A6" s="26">
        <v>5</v>
      </c>
      <c r="B6" s="26">
        <v>124342</v>
      </c>
      <c r="C6" s="26">
        <v>13</v>
      </c>
      <c r="D6" s="26">
        <v>13.1</v>
      </c>
      <c r="E6" s="26" t="s">
        <v>70</v>
      </c>
      <c r="F6" s="26" t="s">
        <v>12</v>
      </c>
      <c r="G6" s="26" t="s">
        <v>23</v>
      </c>
      <c r="H6" s="26" t="s">
        <v>20</v>
      </c>
      <c r="I6" s="26">
        <v>77</v>
      </c>
      <c r="J6" s="51">
        <v>42948</v>
      </c>
      <c r="K6" s="51">
        <v>44237</v>
      </c>
      <c r="L6" s="51">
        <v>45291</v>
      </c>
      <c r="M6" s="25">
        <v>17846468.75</v>
      </c>
      <c r="N6" s="25">
        <v>17775953.350000001</v>
      </c>
      <c r="O6" s="25">
        <v>15109560.35</v>
      </c>
      <c r="P6" s="25">
        <v>2310873.9300000002</v>
      </c>
      <c r="Q6" s="25">
        <v>355519.07</v>
      </c>
      <c r="R6" s="25">
        <v>70515.399999999994</v>
      </c>
      <c r="S6" s="27">
        <f t="shared" si="3"/>
        <v>9602886.0700000003</v>
      </c>
      <c r="T6" s="44">
        <f t="shared" si="4"/>
        <v>10126808.41</v>
      </c>
      <c r="U6" s="53">
        <f t="shared" si="0"/>
        <v>2035416.640202601</v>
      </c>
      <c r="V6" s="48">
        <f t="shared" si="1"/>
        <v>1625138.22</v>
      </c>
      <c r="W6" s="24">
        <f t="shared" si="2"/>
        <v>328842.21367867256</v>
      </c>
      <c r="X6" s="25" t="s">
        <v>95</v>
      </c>
      <c r="Y6" s="25">
        <v>5141180.2300000004</v>
      </c>
      <c r="Z6" s="25">
        <v>5306405.2</v>
      </c>
      <c r="AA6" s="24">
        <v>0</v>
      </c>
      <c r="AB6" s="26" t="s">
        <v>94</v>
      </c>
      <c r="AC6" s="25">
        <v>119128.4</v>
      </c>
      <c r="AD6" s="25">
        <v>4820403.21</v>
      </c>
      <c r="AE6" s="24">
        <v>0</v>
      </c>
      <c r="AF6" s="26" t="s">
        <v>93</v>
      </c>
      <c r="AG6" s="25">
        <v>4342577.4400000004</v>
      </c>
      <c r="AH6" s="25">
        <v>0</v>
      </c>
      <c r="AI6" s="24">
        <v>1625138.22</v>
      </c>
      <c r="AJ6" s="26"/>
      <c r="AK6" s="25"/>
      <c r="AL6" s="25"/>
      <c r="AM6" s="24"/>
      <c r="AN6" s="26"/>
      <c r="AO6" s="25"/>
      <c r="AP6" s="25"/>
      <c r="AQ6" s="24"/>
      <c r="AR6" s="26"/>
      <c r="AS6" s="25"/>
      <c r="AT6" s="25"/>
      <c r="AU6" s="24"/>
      <c r="AV6" s="33"/>
      <c r="AW6" s="32"/>
      <c r="AX6" s="32"/>
      <c r="AY6" s="31"/>
    </row>
    <row r="7" spans="1:51" s="30" customFormat="1" ht="84" x14ac:dyDescent="0.3">
      <c r="A7" s="26">
        <v>6</v>
      </c>
      <c r="B7" s="26">
        <v>125421</v>
      </c>
      <c r="C7" s="26">
        <v>13</v>
      </c>
      <c r="D7" s="26">
        <v>13.1</v>
      </c>
      <c r="E7" s="26" t="s">
        <v>70</v>
      </c>
      <c r="F7" s="26" t="s">
        <v>12</v>
      </c>
      <c r="G7" s="26" t="s">
        <v>24</v>
      </c>
      <c r="H7" s="26" t="s">
        <v>13</v>
      </c>
      <c r="I7" s="26">
        <v>102</v>
      </c>
      <c r="J7" s="51">
        <v>42194</v>
      </c>
      <c r="K7" s="51">
        <v>44187</v>
      </c>
      <c r="L7" s="51">
        <v>45291</v>
      </c>
      <c r="M7" s="25">
        <v>14298093.85</v>
      </c>
      <c r="N7" s="25">
        <v>13954859.689999999</v>
      </c>
      <c r="O7" s="25">
        <v>11861630.76</v>
      </c>
      <c r="P7" s="25">
        <v>1814131.73</v>
      </c>
      <c r="Q7" s="25">
        <v>279097.2</v>
      </c>
      <c r="R7" s="25">
        <v>343234.16</v>
      </c>
      <c r="S7" s="27">
        <f t="shared" si="3"/>
        <v>9173888.2300000004</v>
      </c>
      <c r="T7" s="44">
        <f t="shared" si="4"/>
        <v>4780971.459999999</v>
      </c>
      <c r="U7" s="53">
        <f t="shared" si="0"/>
        <v>960941.34223061905</v>
      </c>
      <c r="V7" s="48">
        <f t="shared" si="1"/>
        <v>0</v>
      </c>
      <c r="W7" s="24">
        <f t="shared" si="2"/>
        <v>0</v>
      </c>
      <c r="X7" s="25" t="s">
        <v>92</v>
      </c>
      <c r="Y7" s="25">
        <v>9173888.2300000004</v>
      </c>
      <c r="Z7" s="25">
        <f>'AXA 13'!N7-'AXA 13'!Y7</f>
        <v>4780971.459999999</v>
      </c>
      <c r="AA7" s="24">
        <v>0</v>
      </c>
      <c r="AB7" s="19"/>
      <c r="AC7" s="25"/>
      <c r="AD7" s="25"/>
      <c r="AE7" s="24"/>
      <c r="AF7" s="26"/>
      <c r="AG7" s="25"/>
      <c r="AH7" s="25"/>
      <c r="AI7" s="24"/>
      <c r="AJ7" s="26"/>
      <c r="AK7" s="25"/>
      <c r="AL7" s="25"/>
      <c r="AM7" s="24"/>
      <c r="AN7" s="26"/>
      <c r="AO7" s="25"/>
      <c r="AP7" s="25"/>
      <c r="AQ7" s="24"/>
      <c r="AR7" s="26"/>
      <c r="AS7" s="25"/>
      <c r="AT7" s="25"/>
      <c r="AU7" s="24"/>
      <c r="AV7" s="33"/>
      <c r="AW7" s="32"/>
      <c r="AX7" s="32"/>
      <c r="AY7" s="31"/>
    </row>
    <row r="8" spans="1:51" s="30" customFormat="1" ht="72" x14ac:dyDescent="0.3">
      <c r="A8" s="26">
        <v>7</v>
      </c>
      <c r="B8" s="26">
        <v>125834</v>
      </c>
      <c r="C8" s="26">
        <v>13</v>
      </c>
      <c r="D8" s="26">
        <v>13.1</v>
      </c>
      <c r="E8" s="26" t="s">
        <v>70</v>
      </c>
      <c r="F8" s="26" t="s">
        <v>12</v>
      </c>
      <c r="G8" s="26" t="s">
        <v>25</v>
      </c>
      <c r="H8" s="26" t="s">
        <v>26</v>
      </c>
      <c r="I8" s="26">
        <v>96</v>
      </c>
      <c r="J8" s="51">
        <v>42370</v>
      </c>
      <c r="K8" s="51">
        <v>44252</v>
      </c>
      <c r="L8" s="51">
        <v>45291</v>
      </c>
      <c r="M8" s="25">
        <v>25172957.059999999</v>
      </c>
      <c r="N8" s="25">
        <v>23264861.129999999</v>
      </c>
      <c r="O8" s="25">
        <v>19775131.989999998</v>
      </c>
      <c r="P8" s="25">
        <v>3024431.92</v>
      </c>
      <c r="Q8" s="25">
        <v>465297.22</v>
      </c>
      <c r="R8" s="25">
        <v>1908095.93</v>
      </c>
      <c r="S8" s="27">
        <f t="shared" si="3"/>
        <v>1603389.92</v>
      </c>
      <c r="T8" s="44">
        <f t="shared" si="4"/>
        <v>7477623.7000000002</v>
      </c>
      <c r="U8" s="53">
        <f t="shared" si="0"/>
        <v>1502949.3095893716</v>
      </c>
      <c r="V8" s="48">
        <f t="shared" si="1"/>
        <v>14183847.51</v>
      </c>
      <c r="W8" s="24">
        <f t="shared" si="2"/>
        <v>2870062.2237960338</v>
      </c>
      <c r="X8" s="25" t="s">
        <v>91</v>
      </c>
      <c r="Y8" s="25">
        <v>260428.5</v>
      </c>
      <c r="Z8" s="25">
        <v>7477623.7000000002</v>
      </c>
      <c r="AA8" s="24">
        <v>0</v>
      </c>
      <c r="AB8" s="26" t="s">
        <v>90</v>
      </c>
      <c r="AC8" s="25">
        <v>272988.15999999997</v>
      </c>
      <c r="AD8" s="25">
        <v>0</v>
      </c>
      <c r="AE8" s="24">
        <v>2065499.87</v>
      </c>
      <c r="AF8" s="26" t="s">
        <v>89</v>
      </c>
      <c r="AG8" s="25">
        <v>359797.66</v>
      </c>
      <c r="AH8" s="25">
        <v>0</v>
      </c>
      <c r="AI8" s="24">
        <v>2608680.54</v>
      </c>
      <c r="AJ8" s="26" t="s">
        <v>88</v>
      </c>
      <c r="AK8" s="25">
        <v>65938.28</v>
      </c>
      <c r="AL8" s="25">
        <v>0</v>
      </c>
      <c r="AM8" s="24">
        <v>1115013.08</v>
      </c>
      <c r="AN8" s="26" t="s">
        <v>87</v>
      </c>
      <c r="AO8" s="25">
        <v>55595.02</v>
      </c>
      <c r="AP8" s="25">
        <v>0</v>
      </c>
      <c r="AQ8" s="24">
        <v>513874</v>
      </c>
      <c r="AR8" s="26" t="s">
        <v>86</v>
      </c>
      <c r="AS8" s="25">
        <v>588642.30000000005</v>
      </c>
      <c r="AT8" s="25">
        <v>0</v>
      </c>
      <c r="AU8" s="24">
        <v>7880780.0199999996</v>
      </c>
      <c r="AV8" s="33"/>
      <c r="AW8" s="32"/>
      <c r="AX8" s="32"/>
      <c r="AY8" s="31"/>
    </row>
    <row r="9" spans="1:51" ht="60" x14ac:dyDescent="0.3">
      <c r="A9" s="26">
        <v>8</v>
      </c>
      <c r="B9" s="26">
        <v>125835</v>
      </c>
      <c r="C9" s="26">
        <v>13</v>
      </c>
      <c r="D9" s="26">
        <v>13.1</v>
      </c>
      <c r="E9" s="26" t="s">
        <v>70</v>
      </c>
      <c r="F9" s="26" t="s">
        <v>12</v>
      </c>
      <c r="G9" s="26" t="s">
        <v>27</v>
      </c>
      <c r="H9" s="26" t="s">
        <v>26</v>
      </c>
      <c r="I9" s="26">
        <v>97</v>
      </c>
      <c r="J9" s="51">
        <v>42339</v>
      </c>
      <c r="K9" s="51">
        <v>44252</v>
      </c>
      <c r="L9" s="51">
        <v>45291</v>
      </c>
      <c r="M9" s="25">
        <v>25479414.780000001</v>
      </c>
      <c r="N9" s="25">
        <v>22791761.629999999</v>
      </c>
      <c r="O9" s="25">
        <v>19372997.390000001</v>
      </c>
      <c r="P9" s="25">
        <v>2962929.01</v>
      </c>
      <c r="Q9" s="25">
        <v>455835.23</v>
      </c>
      <c r="R9" s="25">
        <v>2687653.15</v>
      </c>
      <c r="S9" s="27">
        <f t="shared" si="3"/>
        <v>1321538.3899999999</v>
      </c>
      <c r="T9" s="44">
        <f t="shared" si="4"/>
        <v>15682493.439999999</v>
      </c>
      <c r="U9" s="53">
        <f t="shared" si="0"/>
        <v>3152069.913372058</v>
      </c>
      <c r="V9" s="48">
        <f t="shared" si="1"/>
        <v>5787729.7999999998</v>
      </c>
      <c r="W9" s="24">
        <f t="shared" si="2"/>
        <v>1171131.0805341967</v>
      </c>
      <c r="X9" s="25" t="s">
        <v>85</v>
      </c>
      <c r="Y9" s="25">
        <v>775697.48</v>
      </c>
      <c r="Z9" s="25">
        <v>14350983.59</v>
      </c>
      <c r="AA9" s="24">
        <v>0</v>
      </c>
      <c r="AB9" s="26" t="s">
        <v>84</v>
      </c>
      <c r="AC9" s="25">
        <v>295056.46999999997</v>
      </c>
      <c r="AD9" s="25">
        <v>0</v>
      </c>
      <c r="AE9" s="24">
        <v>4810148.0199999996</v>
      </c>
      <c r="AF9" s="26" t="s">
        <v>83</v>
      </c>
      <c r="AG9" s="25">
        <v>114444.22</v>
      </c>
      <c r="AH9" s="25">
        <v>0</v>
      </c>
      <c r="AI9" s="24">
        <v>977581.78</v>
      </c>
      <c r="AJ9" s="26" t="s">
        <v>82</v>
      </c>
      <c r="AK9" s="25">
        <v>136340.22</v>
      </c>
      <c r="AL9" s="25">
        <v>1331509.8500000001</v>
      </c>
      <c r="AM9" s="24"/>
      <c r="AN9" s="26"/>
      <c r="AO9" s="25"/>
      <c r="AP9" s="25"/>
      <c r="AQ9" s="24"/>
      <c r="AR9" s="26"/>
      <c r="AS9" s="25"/>
      <c r="AT9" s="25"/>
      <c r="AU9" s="24"/>
      <c r="AV9" s="26"/>
      <c r="AW9" s="25"/>
      <c r="AX9" s="25"/>
      <c r="AY9" s="24"/>
    </row>
    <row r="10" spans="1:51" ht="36" x14ac:dyDescent="0.3">
      <c r="A10" s="26">
        <v>9</v>
      </c>
      <c r="B10" s="26">
        <v>125915</v>
      </c>
      <c r="C10" s="26">
        <v>13</v>
      </c>
      <c r="D10" s="26">
        <v>13.1</v>
      </c>
      <c r="E10" s="26" t="s">
        <v>70</v>
      </c>
      <c r="F10" s="26" t="s">
        <v>33</v>
      </c>
      <c r="G10" s="26" t="s">
        <v>39</v>
      </c>
      <c r="H10" s="26" t="s">
        <v>40</v>
      </c>
      <c r="I10" s="26">
        <v>66</v>
      </c>
      <c r="J10" s="51">
        <v>43306</v>
      </c>
      <c r="K10" s="51">
        <v>44242</v>
      </c>
      <c r="L10" s="51">
        <v>45289</v>
      </c>
      <c r="M10" s="25">
        <v>20490976.940000001</v>
      </c>
      <c r="N10" s="25">
        <v>20489076.940000001</v>
      </c>
      <c r="O10" s="25">
        <v>17415715.420000002</v>
      </c>
      <c r="P10" s="25">
        <v>2663579.9700000002</v>
      </c>
      <c r="Q10" s="25">
        <v>409781.55</v>
      </c>
      <c r="R10" s="25">
        <v>1900</v>
      </c>
      <c r="S10" s="27">
        <f t="shared" si="3"/>
        <v>5522091.0499999998</v>
      </c>
      <c r="T10" s="44">
        <f t="shared" si="4"/>
        <v>10717406.92</v>
      </c>
      <c r="U10" s="53">
        <f t="shared" si="0"/>
        <v>2154122.7503869114</v>
      </c>
      <c r="V10" s="48">
        <f t="shared" si="1"/>
        <v>0</v>
      </c>
      <c r="W10" s="24">
        <f t="shared" si="2"/>
        <v>0</v>
      </c>
      <c r="X10" s="25" t="s">
        <v>81</v>
      </c>
      <c r="Y10" s="25">
        <v>1914995.04</v>
      </c>
      <c r="Z10" s="25">
        <v>1566554.55</v>
      </c>
      <c r="AA10" s="24">
        <v>0</v>
      </c>
      <c r="AB10" s="26" t="s">
        <v>80</v>
      </c>
      <c r="AC10" s="25">
        <v>3607096.01</v>
      </c>
      <c r="AD10" s="25">
        <v>9150852.3699999992</v>
      </c>
      <c r="AE10" s="24">
        <v>0</v>
      </c>
      <c r="AF10" s="26"/>
      <c r="AG10" s="25"/>
      <c r="AH10" s="25"/>
      <c r="AI10" s="24"/>
      <c r="AJ10" s="26"/>
      <c r="AK10" s="25"/>
      <c r="AL10" s="25"/>
      <c r="AM10" s="24"/>
      <c r="AN10" s="26"/>
      <c r="AO10" s="25"/>
      <c r="AP10" s="25"/>
      <c r="AQ10" s="24"/>
      <c r="AR10" s="26"/>
      <c r="AS10" s="25"/>
      <c r="AT10" s="25"/>
      <c r="AU10" s="24"/>
      <c r="AV10" s="26"/>
      <c r="AW10" s="25"/>
      <c r="AX10" s="25"/>
      <c r="AY10" s="24"/>
    </row>
    <row r="11" spans="1:51" ht="48" x14ac:dyDescent="0.3">
      <c r="A11" s="26">
        <v>10</v>
      </c>
      <c r="B11" s="26">
        <v>126058</v>
      </c>
      <c r="C11" s="26">
        <v>13</v>
      </c>
      <c r="D11" s="26">
        <v>13.1</v>
      </c>
      <c r="E11" s="26" t="s">
        <v>70</v>
      </c>
      <c r="F11" s="26" t="s">
        <v>33</v>
      </c>
      <c r="G11" s="26" t="s">
        <v>41</v>
      </c>
      <c r="H11" s="26" t="s">
        <v>35</v>
      </c>
      <c r="I11" s="26">
        <v>72</v>
      </c>
      <c r="J11" s="51">
        <v>43101</v>
      </c>
      <c r="K11" s="51">
        <v>43909</v>
      </c>
      <c r="L11" s="51">
        <v>45291</v>
      </c>
      <c r="M11" s="25">
        <v>17405188</v>
      </c>
      <c r="N11" s="25">
        <v>15661008.109999999</v>
      </c>
      <c r="O11" s="25">
        <v>13311856.9</v>
      </c>
      <c r="P11" s="25">
        <v>2035931.08</v>
      </c>
      <c r="Q11" s="25">
        <v>313220.13</v>
      </c>
      <c r="R11" s="25">
        <v>1744179.89</v>
      </c>
      <c r="S11" s="27">
        <f t="shared" si="3"/>
        <v>10862222.050000001</v>
      </c>
      <c r="T11" s="44">
        <f t="shared" si="4"/>
        <v>2977819.9</v>
      </c>
      <c r="U11" s="53">
        <f t="shared" si="0"/>
        <v>598520.67212027416</v>
      </c>
      <c r="V11" s="48">
        <f t="shared" si="1"/>
        <v>1113029.42</v>
      </c>
      <c r="W11" s="24">
        <f t="shared" si="2"/>
        <v>225218.41764467824</v>
      </c>
      <c r="X11" s="25" t="s">
        <v>79</v>
      </c>
      <c r="Y11" s="25">
        <v>2573800.9700000002</v>
      </c>
      <c r="Z11" s="25">
        <v>2472269.25</v>
      </c>
      <c r="AA11" s="24">
        <v>0</v>
      </c>
      <c r="AB11" s="26" t="s">
        <v>78</v>
      </c>
      <c r="AC11" s="25">
        <v>4897869.71</v>
      </c>
      <c r="AD11" s="25">
        <v>0</v>
      </c>
      <c r="AE11" s="24">
        <v>1113029.42</v>
      </c>
      <c r="AF11" s="26" t="s">
        <v>77</v>
      </c>
      <c r="AG11" s="25">
        <v>3390551.37</v>
      </c>
      <c r="AH11" s="25">
        <v>505550.65</v>
      </c>
      <c r="AI11" s="24"/>
      <c r="AJ11" s="26"/>
      <c r="AK11" s="25"/>
      <c r="AL11" s="25"/>
      <c r="AM11" s="24"/>
      <c r="AN11" s="26"/>
      <c r="AO11" s="25"/>
      <c r="AP11" s="25"/>
      <c r="AQ11" s="24"/>
      <c r="AR11" s="26"/>
      <c r="AS11" s="25"/>
      <c r="AT11" s="25"/>
      <c r="AU11" s="24"/>
      <c r="AV11" s="26"/>
      <c r="AW11" s="25"/>
      <c r="AX11" s="25"/>
      <c r="AY11" s="24"/>
    </row>
    <row r="12" spans="1:51" ht="108" x14ac:dyDescent="0.3">
      <c r="A12" s="26">
        <v>11</v>
      </c>
      <c r="B12" s="26">
        <v>126521</v>
      </c>
      <c r="C12" s="26">
        <v>13</v>
      </c>
      <c r="D12" s="26">
        <v>13.1</v>
      </c>
      <c r="E12" s="26" t="s">
        <v>70</v>
      </c>
      <c r="F12" s="26" t="s">
        <v>33</v>
      </c>
      <c r="G12" s="26" t="s">
        <v>42</v>
      </c>
      <c r="H12" s="26" t="s">
        <v>34</v>
      </c>
      <c r="I12" s="26">
        <v>65</v>
      </c>
      <c r="J12" s="51">
        <v>43313</v>
      </c>
      <c r="K12" s="51">
        <v>44322</v>
      </c>
      <c r="L12" s="51">
        <v>45291</v>
      </c>
      <c r="M12" s="25">
        <v>21905616.690000001</v>
      </c>
      <c r="N12" s="25">
        <v>20632635.359999999</v>
      </c>
      <c r="O12" s="25">
        <v>17537740.129999999</v>
      </c>
      <c r="P12" s="25">
        <v>2682242.4500000002</v>
      </c>
      <c r="Q12" s="25">
        <v>412652.78</v>
      </c>
      <c r="R12" s="25">
        <v>1272981.33</v>
      </c>
      <c r="S12" s="27">
        <f t="shared" si="3"/>
        <v>5811460.21</v>
      </c>
      <c r="T12" s="44">
        <f t="shared" si="4"/>
        <v>1698567.4300000002</v>
      </c>
      <c r="U12" s="53">
        <f t="shared" si="0"/>
        <v>341400.0020099291</v>
      </c>
      <c r="V12" s="48">
        <f t="shared" si="1"/>
        <v>10316544.6</v>
      </c>
      <c r="W12" s="24">
        <f t="shared" si="2"/>
        <v>2087524.20072845</v>
      </c>
      <c r="X12" s="25" t="s">
        <v>76</v>
      </c>
      <c r="Y12" s="25">
        <v>1845298.24</v>
      </c>
      <c r="Z12" s="25">
        <v>996818.83</v>
      </c>
      <c r="AA12" s="24">
        <v>0</v>
      </c>
      <c r="AB12" s="26" t="s">
        <v>71</v>
      </c>
      <c r="AC12" s="25">
        <v>1559284.52</v>
      </c>
      <c r="AD12" s="25">
        <v>0</v>
      </c>
      <c r="AE12" s="24">
        <v>6555445.6799999997</v>
      </c>
      <c r="AF12" s="26" t="s">
        <v>75</v>
      </c>
      <c r="AG12" s="25">
        <v>253848.38</v>
      </c>
      <c r="AH12" s="25">
        <v>0</v>
      </c>
      <c r="AI12" s="24">
        <v>3761098.92</v>
      </c>
      <c r="AJ12" s="26" t="s">
        <v>74</v>
      </c>
      <c r="AK12" s="25">
        <v>1854316.88</v>
      </c>
      <c r="AL12" s="49">
        <v>302604.96000000002</v>
      </c>
      <c r="AM12" s="24">
        <v>0</v>
      </c>
      <c r="AN12" s="26" t="s">
        <v>73</v>
      </c>
      <c r="AO12" s="25">
        <v>298712.19</v>
      </c>
      <c r="AP12" s="49">
        <v>399143.64</v>
      </c>
      <c r="AR12" s="26"/>
      <c r="AS12" s="25"/>
      <c r="AT12" s="25"/>
      <c r="AU12" s="24"/>
      <c r="AV12" s="26"/>
      <c r="AW12" s="25"/>
      <c r="AX12" s="25"/>
      <c r="AY12" s="24"/>
    </row>
    <row r="13" spans="1:51" s="20" customFormat="1" ht="84" x14ac:dyDescent="0.3">
      <c r="A13" s="26">
        <v>12</v>
      </c>
      <c r="B13" s="26">
        <v>126663</v>
      </c>
      <c r="C13" s="26">
        <v>13</v>
      </c>
      <c r="D13" s="26">
        <v>13.1</v>
      </c>
      <c r="E13" s="26" t="s">
        <v>70</v>
      </c>
      <c r="F13" s="26" t="s">
        <v>28</v>
      </c>
      <c r="G13" s="26" t="s">
        <v>31</v>
      </c>
      <c r="H13" s="26" t="s">
        <v>32</v>
      </c>
      <c r="I13" s="26">
        <v>65</v>
      </c>
      <c r="J13" s="51">
        <v>43313</v>
      </c>
      <c r="K13" s="51">
        <v>44252</v>
      </c>
      <c r="L13" s="51">
        <v>45291</v>
      </c>
      <c r="M13" s="25">
        <v>11852647.1</v>
      </c>
      <c r="N13" s="25">
        <v>11780533.1</v>
      </c>
      <c r="O13" s="25">
        <v>10013453.130000001</v>
      </c>
      <c r="P13" s="25">
        <v>1531469.3</v>
      </c>
      <c r="Q13" s="25">
        <v>235610.67</v>
      </c>
      <c r="R13" s="25">
        <v>72114</v>
      </c>
      <c r="S13" s="27">
        <f t="shared" si="3"/>
        <v>8170276.3300000001</v>
      </c>
      <c r="T13" s="44">
        <f t="shared" si="4"/>
        <v>334197.59000000003</v>
      </c>
      <c r="U13" s="53">
        <f t="shared" si="0"/>
        <v>67171.344441541223</v>
      </c>
      <c r="V13" s="48">
        <f t="shared" si="1"/>
        <v>1288650.3999999999</v>
      </c>
      <c r="W13" s="24">
        <f t="shared" si="2"/>
        <v>260754.83609874541</v>
      </c>
      <c r="X13" s="25" t="s">
        <v>72</v>
      </c>
      <c r="Y13" s="25">
        <v>3575366.98</v>
      </c>
      <c r="Z13" s="25">
        <v>334197.59000000003</v>
      </c>
      <c r="AA13" s="24">
        <v>0</v>
      </c>
      <c r="AB13" s="26" t="s">
        <v>71</v>
      </c>
      <c r="AC13" s="25">
        <v>4594909.3499999996</v>
      </c>
      <c r="AD13" s="25">
        <v>0</v>
      </c>
      <c r="AE13" s="24">
        <v>1288650.3999999999</v>
      </c>
      <c r="AF13" s="26"/>
      <c r="AG13" s="25"/>
      <c r="AH13" s="25"/>
      <c r="AI13" s="24"/>
      <c r="AJ13" s="26"/>
      <c r="AK13" s="25"/>
      <c r="AL13" s="25"/>
      <c r="AM13" s="24"/>
      <c r="AN13" s="26"/>
      <c r="AO13" s="25"/>
      <c r="AP13" s="25"/>
      <c r="AQ13" s="24"/>
      <c r="AR13" s="26"/>
      <c r="AS13" s="25"/>
      <c r="AT13" s="25"/>
      <c r="AU13" s="24"/>
      <c r="AV13" s="29"/>
      <c r="AW13" s="27"/>
      <c r="AX13" s="27"/>
      <c r="AY13" s="28"/>
    </row>
    <row r="14" spans="1:51" ht="72" x14ac:dyDescent="0.3">
      <c r="A14" s="26">
        <v>13</v>
      </c>
      <c r="B14" s="26">
        <v>126023</v>
      </c>
      <c r="C14" s="26">
        <v>13</v>
      </c>
      <c r="D14" s="26">
        <v>13.1</v>
      </c>
      <c r="E14" s="26" t="s">
        <v>70</v>
      </c>
      <c r="F14" s="26" t="s">
        <v>28</v>
      </c>
      <c r="G14" s="26" t="s">
        <v>29</v>
      </c>
      <c r="H14" s="26" t="s">
        <v>30</v>
      </c>
      <c r="I14" s="26">
        <v>63</v>
      </c>
      <c r="J14" s="51">
        <v>43313</v>
      </c>
      <c r="K14" s="51">
        <v>44021</v>
      </c>
      <c r="L14" s="51">
        <v>45230</v>
      </c>
      <c r="M14" s="25">
        <v>24273208.059999999</v>
      </c>
      <c r="N14" s="25">
        <v>23160453.329999998</v>
      </c>
      <c r="O14" s="25">
        <v>19686385.34</v>
      </c>
      <c r="P14" s="25">
        <v>3010858.9</v>
      </c>
      <c r="Q14" s="25">
        <v>463209.09</v>
      </c>
      <c r="R14" s="25">
        <v>1112754.73</v>
      </c>
      <c r="S14" s="27">
        <f t="shared" si="3"/>
        <v>10295276.92</v>
      </c>
      <c r="T14" s="44">
        <f t="shared" si="4"/>
        <v>9135977.5500000007</v>
      </c>
      <c r="U14" s="53">
        <f>T14/4.9753</f>
        <v>1836266.6673366432</v>
      </c>
      <c r="V14" s="48">
        <f>AE14+AI14+AM14+AQ14+AU14+AY14</f>
        <v>2382767.3600000003</v>
      </c>
      <c r="W14" s="24">
        <f t="shared" si="2"/>
        <v>482146.36989073257</v>
      </c>
      <c r="X14" s="25" t="s">
        <v>69</v>
      </c>
      <c r="Y14" s="25">
        <v>4130223.09</v>
      </c>
      <c r="Z14" s="50">
        <v>5703987.2999999998</v>
      </c>
      <c r="AA14" s="19">
        <v>0</v>
      </c>
      <c r="AB14" s="26" t="s">
        <v>68</v>
      </c>
      <c r="AC14" s="25">
        <v>4021771.05</v>
      </c>
      <c r="AD14" s="25">
        <v>3431990.25</v>
      </c>
      <c r="AE14" s="24">
        <v>0</v>
      </c>
      <c r="AF14" s="26" t="s">
        <v>67</v>
      </c>
      <c r="AG14" s="25">
        <v>238000.5</v>
      </c>
      <c r="AH14" s="25">
        <v>0</v>
      </c>
      <c r="AI14" s="24">
        <v>1420493.83</v>
      </c>
      <c r="AJ14" s="26" t="s">
        <v>66</v>
      </c>
      <c r="AK14" s="25">
        <v>1905282.28</v>
      </c>
      <c r="AL14" s="25">
        <v>0</v>
      </c>
      <c r="AM14" s="24">
        <v>962273.53</v>
      </c>
      <c r="AN14" s="26"/>
      <c r="AO14" s="25"/>
      <c r="AP14" s="25"/>
      <c r="AQ14" s="24"/>
      <c r="AR14" s="26"/>
      <c r="AS14" s="26"/>
      <c r="AT14" s="26"/>
      <c r="AU14" s="24"/>
      <c r="AV14" s="26"/>
      <c r="AW14" s="25"/>
      <c r="AX14" s="25"/>
      <c r="AY14" s="24"/>
    </row>
    <row r="15" spans="1:51" ht="40.200000000000003" customHeight="1" x14ac:dyDescent="0.3">
      <c r="M15" s="45">
        <f t="shared" ref="M15:R15" si="5">SUM(M2:M14)</f>
        <v>269276355.68999994</v>
      </c>
      <c r="N15" s="45">
        <f t="shared" si="5"/>
        <v>256163585.06</v>
      </c>
      <c r="O15" s="45">
        <f t="shared" si="5"/>
        <v>217739047.47000003</v>
      </c>
      <c r="P15" s="45">
        <f t="shared" si="5"/>
        <v>33301264.749999993</v>
      </c>
      <c r="Q15" s="45">
        <f t="shared" si="5"/>
        <v>5123272.8399999989</v>
      </c>
      <c r="R15" s="45">
        <f t="shared" si="5"/>
        <v>13112770.630000001</v>
      </c>
      <c r="S15" s="45">
        <f>SUM(S2:S14)</f>
        <v>96169803.179999992</v>
      </c>
      <c r="T15" s="45">
        <f>SUM(T2:T14)</f>
        <v>100782465.89000003</v>
      </c>
      <c r="U15" s="45">
        <f>SUM(U2:U14)</f>
        <v>20256560.587301265</v>
      </c>
      <c r="V15" s="45">
        <f t="shared" ref="V15:W15" si="6">SUM(V2:V14)</f>
        <v>51616769.670000002</v>
      </c>
      <c r="W15" s="45">
        <f t="shared" si="6"/>
        <v>10444510.252934035</v>
      </c>
    </row>
    <row r="17" spans="19:26" ht="24" x14ac:dyDescent="0.3">
      <c r="S17" s="23" t="s">
        <v>65</v>
      </c>
      <c r="T17" s="46"/>
      <c r="U17" s="54">
        <f>Z2+Z5+Z8+Z9+Z11+AH11+Z12+Z14+AD14+Z13+AP12+AD3</f>
        <v>67222652.709999993</v>
      </c>
      <c r="V17" s="64">
        <f>U17/4.9753</f>
        <v>13511276.246658493</v>
      </c>
      <c r="W17" s="21"/>
      <c r="X17" s="22"/>
    </row>
    <row r="18" spans="19:26" x14ac:dyDescent="0.3">
      <c r="S18" s="23" t="s">
        <v>64</v>
      </c>
      <c r="T18" s="46"/>
      <c r="U18" s="54">
        <f>Z4+Z6+Z7+AD10</f>
        <v>25020808.409999996</v>
      </c>
      <c r="V18" s="64">
        <f t="shared" ref="V18:V21" si="7">U18/4.9753</f>
        <v>5029004.9665346807</v>
      </c>
      <c r="W18" s="21"/>
      <c r="X18" s="22"/>
    </row>
    <row r="19" spans="19:26" ht="24" x14ac:dyDescent="0.3">
      <c r="S19" s="23" t="s">
        <v>63</v>
      </c>
      <c r="T19" s="46"/>
      <c r="U19" s="54">
        <f>AD2+AL9+Z10+AL12</f>
        <v>3718601.56</v>
      </c>
      <c r="V19" s="64">
        <f t="shared" si="7"/>
        <v>747412.52989769459</v>
      </c>
      <c r="W19" s="21"/>
      <c r="X19" s="22"/>
      <c r="Y19" s="19">
        <v>1288650.3999999999</v>
      </c>
      <c r="Z19" s="19">
        <f>Y19*85/100</f>
        <v>1095352.8399999999</v>
      </c>
    </row>
    <row r="20" spans="19:26" x14ac:dyDescent="0.3">
      <c r="S20" s="23" t="s">
        <v>62</v>
      </c>
      <c r="T20" s="46"/>
      <c r="U20" s="54">
        <f>AD6</f>
        <v>4820403.21</v>
      </c>
      <c r="V20" s="64">
        <f t="shared" si="7"/>
        <v>968866.84421039943</v>
      </c>
      <c r="Y20" s="19">
        <v>2382767.3600000003</v>
      </c>
      <c r="Z20" s="19">
        <f>Y20*85/100</f>
        <v>2025352.2560000003</v>
      </c>
    </row>
    <row r="21" spans="19:26" x14ac:dyDescent="0.3">
      <c r="U21" s="55">
        <f>U17+U18+U19+U20</f>
        <v>100782465.88999999</v>
      </c>
      <c r="V21" s="64">
        <f t="shared" si="7"/>
        <v>20256560.587301265</v>
      </c>
    </row>
    <row r="27" spans="19:26" x14ac:dyDescent="0.3">
      <c r="X27" s="22">
        <f>U21-T15</f>
        <v>0</v>
      </c>
    </row>
  </sheetData>
  <pageMargins left="0.25" right="0.25" top="0.75" bottom="0.75" header="0.3" footer="0.3"/>
  <pageSetup paperSize="8" scale="4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8BF25-32CF-4253-93C2-EF521C433A66}">
  <sheetPr>
    <pageSetUpPr fitToPage="1"/>
  </sheetPr>
  <dimension ref="A2:J31"/>
  <sheetViews>
    <sheetView topLeftCell="A7" workbookViewId="0">
      <selection activeCell="N10" sqref="N10"/>
    </sheetView>
  </sheetViews>
  <sheetFormatPr defaultColWidth="8.88671875" defaultRowHeight="14.4" x14ac:dyDescent="0.3"/>
  <cols>
    <col min="1" max="1" width="8.88671875" style="57" customWidth="1"/>
    <col min="2" max="2" width="29.6640625" style="1" customWidth="1"/>
    <col min="3" max="3" width="15.33203125" style="1" customWidth="1"/>
    <col min="4" max="4" width="13.6640625" style="1" customWidth="1"/>
    <col min="5" max="5" width="11.5546875" style="1" bestFit="1" customWidth="1"/>
    <col min="6" max="6" width="8.88671875" style="1"/>
    <col min="7" max="8" width="13.6640625" style="1" bestFit="1" customWidth="1"/>
    <col min="9" max="9" width="9.109375" style="1" customWidth="1"/>
    <col min="10" max="10" width="20.109375" style="1" customWidth="1"/>
    <col min="11" max="11" width="8.88671875" style="1"/>
    <col min="12" max="12" width="11" style="1" bestFit="1" customWidth="1"/>
    <col min="13" max="16384" width="8.88671875" style="1"/>
  </cols>
  <sheetData>
    <row r="2" spans="1:10" ht="23.4" x14ac:dyDescent="0.3">
      <c r="E2" s="71" t="s">
        <v>149</v>
      </c>
    </row>
    <row r="3" spans="1:10" x14ac:dyDescent="0.3">
      <c r="C3" s="1" t="s">
        <v>166</v>
      </c>
    </row>
    <row r="4" spans="1:10" ht="57.6" x14ac:dyDescent="0.3">
      <c r="B4" s="58" t="s">
        <v>45</v>
      </c>
      <c r="C4" s="58" t="s">
        <v>137</v>
      </c>
      <c r="D4" s="58" t="s">
        <v>138</v>
      </c>
      <c r="E4" s="58" t="s">
        <v>139</v>
      </c>
      <c r="F4" s="58" t="s">
        <v>141</v>
      </c>
      <c r="G4" s="58" t="s">
        <v>46</v>
      </c>
      <c r="H4" s="58" t="s">
        <v>47</v>
      </c>
      <c r="I4" s="81" t="s">
        <v>163</v>
      </c>
      <c r="J4" s="81" t="s">
        <v>161</v>
      </c>
    </row>
    <row r="5" spans="1:10" ht="43.2" x14ac:dyDescent="0.3">
      <c r="A5" s="57" t="s">
        <v>150</v>
      </c>
      <c r="B5" s="2" t="s">
        <v>136</v>
      </c>
      <c r="C5" s="83">
        <v>80117647</v>
      </c>
      <c r="D5" s="83">
        <v>68100000</v>
      </c>
      <c r="E5" s="63" t="e">
        <f t="shared" ref="E5:E16" si="0">H5/C5</f>
        <v>#REF!</v>
      </c>
      <c r="F5" s="65">
        <v>1</v>
      </c>
      <c r="G5" s="60" t="e">
        <f>H5*0.85</f>
        <v>#REF!</v>
      </c>
      <c r="H5" s="60" t="e">
        <f>Sheet1!#REF!</f>
        <v>#REF!</v>
      </c>
      <c r="I5" s="77" t="e">
        <f t="shared" ref="I5:I16" si="1">G5/$G$16*100</f>
        <v>#REF!</v>
      </c>
      <c r="J5" s="79"/>
    </row>
    <row r="6" spans="1:10" x14ac:dyDescent="0.3">
      <c r="A6" s="57" t="s">
        <v>135</v>
      </c>
      <c r="B6" s="2" t="s">
        <v>48</v>
      </c>
      <c r="C6" s="83">
        <v>152941177</v>
      </c>
      <c r="D6" s="83">
        <v>130000000</v>
      </c>
      <c r="E6" s="63" t="e">
        <f t="shared" si="0"/>
        <v>#REF!</v>
      </c>
      <c r="F6" s="59">
        <v>1</v>
      </c>
      <c r="G6" s="60" t="e">
        <f>H6*0.85</f>
        <v>#REF!</v>
      </c>
      <c r="H6" s="60" t="e">
        <f>Sheet1!#REF!</f>
        <v>#REF!</v>
      </c>
      <c r="I6" s="77" t="e">
        <f t="shared" si="1"/>
        <v>#REF!</v>
      </c>
      <c r="J6" s="79"/>
    </row>
    <row r="7" spans="1:10" x14ac:dyDescent="0.3">
      <c r="A7" s="57" t="s">
        <v>151</v>
      </c>
      <c r="B7" s="2" t="s">
        <v>49</v>
      </c>
      <c r="C7" s="83">
        <v>146287059</v>
      </c>
      <c r="D7" s="83">
        <v>124344000</v>
      </c>
      <c r="E7" s="63" t="e">
        <f t="shared" si="0"/>
        <v>#REF!</v>
      </c>
      <c r="F7" s="59">
        <v>12</v>
      </c>
      <c r="G7" s="60" t="e">
        <f t="shared" ref="G7:G15" si="2">H7*0.85</f>
        <v>#REF!</v>
      </c>
      <c r="H7" s="60" t="e">
        <f>Sheet1!#REF!+'AXA 13'!V20</f>
        <v>#REF!</v>
      </c>
      <c r="I7" s="77" t="e">
        <f t="shared" si="1"/>
        <v>#REF!</v>
      </c>
      <c r="J7" s="79"/>
    </row>
    <row r="8" spans="1:10" ht="28.8" x14ac:dyDescent="0.3">
      <c r="A8" s="86" t="s">
        <v>152</v>
      </c>
      <c r="B8" s="2" t="s">
        <v>168</v>
      </c>
      <c r="C8" s="84">
        <v>215992941</v>
      </c>
      <c r="D8" s="84">
        <v>183594000</v>
      </c>
      <c r="E8" s="63" t="e">
        <f t="shared" si="0"/>
        <v>#REF!</v>
      </c>
      <c r="F8" s="85">
        <v>13</v>
      </c>
      <c r="G8" s="60" t="e">
        <f t="shared" si="2"/>
        <v>#REF!</v>
      </c>
      <c r="H8" s="60" t="e">
        <f>Sheet1!#REF!+Sheet1!#REF!</f>
        <v>#REF!</v>
      </c>
      <c r="I8" s="78" t="e">
        <f t="shared" si="1"/>
        <v>#REF!</v>
      </c>
      <c r="J8" s="82" t="s">
        <v>162</v>
      </c>
    </row>
    <row r="9" spans="1:10" ht="43.2" x14ac:dyDescent="0.3">
      <c r="A9" s="57" t="s">
        <v>153</v>
      </c>
      <c r="B9" s="2" t="s">
        <v>50</v>
      </c>
      <c r="C9" s="83">
        <v>225147058.99993876</v>
      </c>
      <c r="D9" s="83">
        <v>191375000</v>
      </c>
      <c r="E9" s="63" t="e">
        <f t="shared" si="0"/>
        <v>#REF!</v>
      </c>
      <c r="F9" s="59">
        <v>3</v>
      </c>
      <c r="G9" s="60" t="e">
        <f>H9*0.85</f>
        <v>#REF!</v>
      </c>
      <c r="H9" s="60" t="e">
        <f>Sheet1!#REF!</f>
        <v>#REF!</v>
      </c>
      <c r="I9" s="78" t="e">
        <f t="shared" si="1"/>
        <v>#REF!</v>
      </c>
      <c r="J9" s="82" t="s">
        <v>160</v>
      </c>
    </row>
    <row r="10" spans="1:10" ht="43.2" x14ac:dyDescent="0.3">
      <c r="A10" s="57" t="s">
        <v>154</v>
      </c>
      <c r="B10" s="2" t="s">
        <v>51</v>
      </c>
      <c r="C10" s="83">
        <v>13194877</v>
      </c>
      <c r="D10" s="83">
        <v>6331000</v>
      </c>
      <c r="E10" s="63" t="e">
        <f t="shared" si="0"/>
        <v>#REF!</v>
      </c>
      <c r="F10" s="59">
        <v>6</v>
      </c>
      <c r="G10" s="60" t="e">
        <f>H10*0.479807411507</f>
        <v>#REF!</v>
      </c>
      <c r="H10" s="60" t="e">
        <f>Sheet1!#REF!+'AXA 13'!V18</f>
        <v>#REF!</v>
      </c>
      <c r="I10" s="78" t="e">
        <f t="shared" si="1"/>
        <v>#REF!</v>
      </c>
      <c r="J10" s="82" t="s">
        <v>164</v>
      </c>
    </row>
    <row r="11" spans="1:10" ht="28.8" x14ac:dyDescent="0.3">
      <c r="A11" s="57" t="s">
        <v>155</v>
      </c>
      <c r="B11" s="2" t="s">
        <v>52</v>
      </c>
      <c r="C11" s="83">
        <v>31016090</v>
      </c>
      <c r="D11" s="83">
        <v>14881750</v>
      </c>
      <c r="E11" s="63" t="e">
        <f t="shared" si="0"/>
        <v>#REF!</v>
      </c>
      <c r="F11" s="59">
        <v>19</v>
      </c>
      <c r="G11" s="60" t="e">
        <f t="shared" ref="G11:G12" si="3">H11*0.479807411507</f>
        <v>#REF!</v>
      </c>
      <c r="H11" s="60" t="e">
        <f>Sheet1!#REF!+'AXA 13'!V17</f>
        <v>#REF!</v>
      </c>
      <c r="I11" s="78" t="e">
        <f t="shared" si="1"/>
        <v>#REF!</v>
      </c>
      <c r="J11" s="82" t="s">
        <v>165</v>
      </c>
    </row>
    <row r="12" spans="1:10" ht="28.8" x14ac:dyDescent="0.3">
      <c r="A12" s="57" t="s">
        <v>156</v>
      </c>
      <c r="B12" s="2" t="s">
        <v>53</v>
      </c>
      <c r="C12" s="83">
        <v>30220133</v>
      </c>
      <c r="D12" s="83">
        <v>14499844</v>
      </c>
      <c r="E12" s="63" t="e">
        <f t="shared" si="0"/>
        <v>#REF!</v>
      </c>
      <c r="F12" s="59">
        <v>3</v>
      </c>
      <c r="G12" s="60" t="e">
        <f t="shared" si="3"/>
        <v>#REF!</v>
      </c>
      <c r="H12" s="60" t="e">
        <f>Sheet1!#REF!</f>
        <v>#REF!</v>
      </c>
      <c r="I12" s="78" t="e">
        <f t="shared" si="1"/>
        <v>#REF!</v>
      </c>
      <c r="J12" s="79"/>
    </row>
    <row r="13" spans="1:10" x14ac:dyDescent="0.3">
      <c r="A13" s="57" t="s">
        <v>157</v>
      </c>
      <c r="B13" s="2" t="s">
        <v>54</v>
      </c>
      <c r="C13" s="83">
        <v>10583503</v>
      </c>
      <c r="D13" s="83">
        <v>8995978</v>
      </c>
      <c r="E13" s="63" t="e">
        <f t="shared" si="0"/>
        <v>#REF!</v>
      </c>
      <c r="F13" s="59">
        <v>3</v>
      </c>
      <c r="G13" s="60" t="e">
        <f t="shared" si="2"/>
        <v>#REF!</v>
      </c>
      <c r="H13" s="60" t="e">
        <f>Sheet1!#REF!</f>
        <v>#REF!</v>
      </c>
      <c r="I13" s="77" t="e">
        <f t="shared" si="1"/>
        <v>#REF!</v>
      </c>
      <c r="J13" s="79"/>
    </row>
    <row r="14" spans="1:10" x14ac:dyDescent="0.3">
      <c r="A14" s="57" t="s">
        <v>158</v>
      </c>
      <c r="B14" s="2" t="s">
        <v>133</v>
      </c>
      <c r="C14" s="83">
        <v>50562727.088030942</v>
      </c>
      <c r="D14" s="83">
        <v>42978318</v>
      </c>
      <c r="E14" s="63" t="e">
        <f t="shared" si="0"/>
        <v>#REF!</v>
      </c>
      <c r="F14" s="59">
        <v>1</v>
      </c>
      <c r="G14" s="60" t="e">
        <f t="shared" si="2"/>
        <v>#REF!</v>
      </c>
      <c r="H14" s="60" t="e">
        <f>Sheet1!#REF!</f>
        <v>#REF!</v>
      </c>
      <c r="I14" s="77" t="e">
        <f t="shared" si="1"/>
        <v>#REF!</v>
      </c>
      <c r="J14" s="79"/>
    </row>
    <row r="15" spans="1:10" x14ac:dyDescent="0.3">
      <c r="A15" s="57" t="s">
        <v>158</v>
      </c>
      <c r="B15" s="2" t="s">
        <v>55</v>
      </c>
      <c r="C15" s="83">
        <v>34069772.960856773</v>
      </c>
      <c r="D15" s="83">
        <v>28959307</v>
      </c>
      <c r="E15" s="63" t="e">
        <f t="shared" si="0"/>
        <v>#REF!</v>
      </c>
      <c r="F15" s="59">
        <v>5</v>
      </c>
      <c r="G15" s="60" t="e">
        <f t="shared" si="2"/>
        <v>#REF!</v>
      </c>
      <c r="H15" s="60" t="e">
        <f>Sheet1!#REF!+'AXA 13'!V19</f>
        <v>#REF!</v>
      </c>
      <c r="I15" s="77" t="e">
        <f t="shared" si="1"/>
        <v>#REF!</v>
      </c>
      <c r="J15" s="79"/>
    </row>
    <row r="16" spans="1:10" ht="31.2" customHeight="1" x14ac:dyDescent="0.3">
      <c r="B16" s="58" t="s">
        <v>56</v>
      </c>
      <c r="C16" s="61">
        <f>SUM(C5:C15)</f>
        <v>990132986.04882646</v>
      </c>
      <c r="D16" s="61">
        <f>SUM(D5:D15)</f>
        <v>814059197</v>
      </c>
      <c r="E16" s="63" t="e">
        <f t="shared" si="0"/>
        <v>#REF!</v>
      </c>
      <c r="F16" s="66">
        <f>SUM(F5:F15)</f>
        <v>67</v>
      </c>
      <c r="G16" s="61" t="e">
        <f>SUM(G5:G15)</f>
        <v>#REF!</v>
      </c>
      <c r="H16" s="75" t="e">
        <f>SUM(H5:H15)</f>
        <v>#REF!</v>
      </c>
      <c r="I16" s="77" t="e">
        <f t="shared" si="1"/>
        <v>#REF!</v>
      </c>
      <c r="J16" s="80"/>
    </row>
    <row r="17" spans="1:10" ht="31.2" customHeight="1" x14ac:dyDescent="0.3">
      <c r="B17" s="58" t="s">
        <v>142</v>
      </c>
      <c r="C17" s="61"/>
      <c r="D17" s="61"/>
      <c r="E17" s="63"/>
      <c r="F17" s="66">
        <v>46</v>
      </c>
      <c r="G17" s="61"/>
      <c r="H17" s="61"/>
    </row>
    <row r="18" spans="1:10" ht="31.2" customHeight="1" x14ac:dyDescent="0.3">
      <c r="B18" s="58" t="s">
        <v>143</v>
      </c>
      <c r="C18" s="61"/>
      <c r="D18" s="70" t="s">
        <v>159</v>
      </c>
      <c r="E18" s="63"/>
      <c r="F18" s="66">
        <v>13</v>
      </c>
      <c r="G18" s="61"/>
      <c r="H18" s="61"/>
    </row>
    <row r="19" spans="1:10" ht="28.8" x14ac:dyDescent="0.3">
      <c r="B19" s="72" t="s">
        <v>57</v>
      </c>
      <c r="C19" s="73" t="e">
        <f>H16/B26</f>
        <v>#REF!</v>
      </c>
      <c r="D19" s="61"/>
      <c r="E19" s="62"/>
      <c r="F19" s="62"/>
      <c r="G19" s="62"/>
      <c r="H19" s="62"/>
    </row>
    <row r="20" spans="1:10" ht="28.8" x14ac:dyDescent="0.3">
      <c r="B20" s="72" t="s">
        <v>140</v>
      </c>
      <c r="C20" s="74" t="e">
        <f>G16/B24</f>
        <v>#REF!</v>
      </c>
      <c r="D20" s="10"/>
      <c r="E20" s="59"/>
      <c r="F20" s="59"/>
      <c r="G20" s="59"/>
      <c r="H20" s="59"/>
    </row>
    <row r="21" spans="1:10" x14ac:dyDescent="0.3">
      <c r="J21" s="5">
        <f>H22-109166</f>
        <v>1645509.7481960896</v>
      </c>
    </row>
    <row r="22" spans="1:10" x14ac:dyDescent="0.3">
      <c r="G22" s="67" t="s">
        <v>146</v>
      </c>
      <c r="H22" s="76">
        <f>Sheet1!O7</f>
        <v>1754675.7481960896</v>
      </c>
      <c r="I22" s="68" t="s">
        <v>147</v>
      </c>
      <c r="J22" s="1">
        <f>J21/B26</f>
        <v>1.0435777721446683E-3</v>
      </c>
    </row>
    <row r="24" spans="1:10" x14ac:dyDescent="0.3">
      <c r="A24" s="94" t="s">
        <v>144</v>
      </c>
      <c r="B24" s="95">
        <v>1312118844</v>
      </c>
      <c r="H24" s="69" t="e">
        <f>H22-H16</f>
        <v>#REF!</v>
      </c>
      <c r="I24" s="68" t="s">
        <v>148</v>
      </c>
    </row>
    <row r="25" spans="1:10" x14ac:dyDescent="0.3">
      <c r="A25" s="94"/>
      <c r="B25" s="95"/>
    </row>
    <row r="26" spans="1:10" ht="43.2" x14ac:dyDescent="0.3">
      <c r="A26" s="89" t="s">
        <v>145</v>
      </c>
      <c r="B26" s="61">
        <v>1576796470.8699999</v>
      </c>
    </row>
    <row r="29" spans="1:10" x14ac:dyDescent="0.3">
      <c r="A29" s="57" t="s">
        <v>167</v>
      </c>
    </row>
    <row r="31" spans="1:10" x14ac:dyDescent="0.3">
      <c r="H31" s="1">
        <f>H22/B26</f>
        <v>1.1128105501326652E-3</v>
      </c>
    </row>
  </sheetData>
  <mergeCells count="2">
    <mergeCell ref="A24:A25"/>
    <mergeCell ref="B24:B25"/>
  </mergeCells>
  <phoneticPr fontId="15" type="noConversion"/>
  <pageMargins left="0.7" right="0.7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AXA 13</vt:lpstr>
      <vt:lpstr>Centralizare</vt:lpstr>
      <vt:lpstr>'AXA 13'!Print_Area</vt:lpstr>
      <vt:lpstr>Centralizare!Print_Area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Calin</dc:creator>
  <cp:lastModifiedBy>Nicoleta Topirceanu</cp:lastModifiedBy>
  <cp:lastPrinted>2024-04-02T05:03:23Z</cp:lastPrinted>
  <dcterms:created xsi:type="dcterms:W3CDTF">2015-06-05T18:17:20Z</dcterms:created>
  <dcterms:modified xsi:type="dcterms:W3CDTF">2024-04-24T08:57:39Z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2024-02-26T16:55:29Z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9890d6f8-f34f-4b1e-ad1c-48aba5bf1f74</vt:lpwstr>
  </property>
  <property fmtid="{D5CDD505-2E9C-101B-9397-08002B2CF9AE}" pid="8" name="MSIP_Label_6bd9ddd1-4d20-43f6-abfa-fc3c07406f94_ContentBits">
    <vt:lpwstr>0</vt:lpwstr>
  </property>
</Properties>
</file>